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192" windowHeight="10800" activeTab="0"/>
  </bookViews>
  <sheets>
    <sheet name="Form 27 Region 6 - Area 2" sheetId="1" r:id="rId1"/>
  </sheets>
  <definedNames/>
  <calcPr fullCalcOnLoad="1"/>
</workbook>
</file>

<file path=xl/sharedStrings.xml><?xml version="1.0" encoding="utf-8"?>
<sst xmlns="http://schemas.openxmlformats.org/spreadsheetml/2006/main" count="218" uniqueCount="94">
  <si>
    <t>Year:</t>
  </si>
  <si>
    <t>Region:</t>
  </si>
  <si>
    <t>Area:</t>
  </si>
  <si>
    <t>Branch:</t>
  </si>
  <si>
    <t>MEMBERSHIP</t>
  </si>
  <si>
    <t>Line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</si>
  <si>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</si>
  <si>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</si>
  <si>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</si>
  <si>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</si>
  <si>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</si>
  <si>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</si>
  <si>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</si>
  <si>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</si>
  <si>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</si>
  <si>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</si>
  <si>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</si>
  <si>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</si>
  <si>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</si>
  <si>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This Year</t>
  </si>
  <si>
    <t>Goal</t>
  </si>
  <si>
    <t>-----</t>
  </si>
  <si>
    <t>15A</t>
  </si>
  <si>
    <t xml:space="preserve"> </t>
  </si>
  <si>
    <t>LUNCHEON ATTENDANCE</t>
  </si>
  <si>
    <t>Total</t>
  </si>
  <si>
    <t>Number of active branch members in attendance</t>
  </si>
  <si>
    <t>19A</t>
  </si>
  <si>
    <t>NOTES</t>
  </si>
  <si>
    <t xml:space="preserve">1.  All of the data in this report are to be determined as of the date of the monthly BEC and luncheon meetings after all inductions and resignations have been reported.  </t>
  </si>
  <si>
    <t xml:space="preserve">     New applications and resignations that occur after the monthly BEC meeting shall be reported at the next BEC meeting.</t>
  </si>
  <si>
    <t>15B</t>
  </si>
  <si>
    <t>15C</t>
  </si>
  <si>
    <t>SUBMITTED BY:</t>
  </si>
  <si>
    <t>TITLE:</t>
  </si>
  <si>
    <t>Repeat Guests and Applicants not yet inducted</t>
  </si>
  <si>
    <t>Active members Resigned, Deceased, Transferred Out or Terminated</t>
  </si>
  <si>
    <t>Previous Years</t>
  </si>
  <si>
    <t>Members reclassified from Active to Inactive status</t>
  </si>
  <si>
    <t>Inactive members reclassified to Active status</t>
  </si>
  <si>
    <t>Withdrawals from list of applicants in process</t>
  </si>
  <si>
    <t>New Applicants (including Transfers in and Rejoiners)</t>
  </si>
  <si>
    <t>New Applicants inducted</t>
  </si>
  <si>
    <t>PERCENT OF ACTIVE MEMBERS IN ATTENDANCE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</si>
  <si>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</si>
  <si>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</si>
  <si>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</si>
  <si>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</si>
  <si>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</si>
  <si>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</si>
  <si>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</si>
  <si>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</si>
  <si>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</si>
  <si>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</si>
  <si>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</si>
  <si>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number of Active members last month (= Line 15 last month)</t>
  </si>
  <si>
    <t>Total number on Inactive status last month (= Line 6 last month)</t>
  </si>
  <si>
    <t>Inactive members Resigned, Deceased, Transferred out or Terminated</t>
  </si>
  <si>
    <t>Total number on Inactive status (Lines 2+3-4-5)</t>
  </si>
  <si>
    <t>Total number of Applicants in process last month (= Line 12 last month)</t>
  </si>
  <si>
    <r>
      <t xml:space="preserve">TOTAL NUMBER OF NEW ACTIVE MEMBERS IN </t>
    </r>
    <r>
      <rPr>
        <sz val="10"/>
        <rFont val="Arial"/>
        <family val="2"/>
      </rPr>
      <t>(Lines 4+10)</t>
    </r>
  </si>
  <si>
    <t>Total number of Applicants in process (Lines 7-8+9-10)</t>
  </si>
  <si>
    <r>
      <t xml:space="preserve">TOTAL NUMBER OF ACTIVE MEMBERS OUT </t>
    </r>
    <r>
      <rPr>
        <sz val="10"/>
        <rFont val="Arial"/>
        <family val="2"/>
      </rPr>
      <t xml:space="preserve"> (Lines 3+13)</t>
    </r>
  </si>
  <si>
    <r>
      <t>TOTAL NUMBER OF ACTIVE MEMBERS</t>
    </r>
    <r>
      <rPr>
        <sz val="10"/>
        <rFont val="Arial"/>
        <family val="2"/>
      </rPr>
      <t xml:space="preserve"> (Lines 1+4+10-14)</t>
    </r>
  </si>
  <si>
    <r>
      <rPr>
        <b/>
        <sz val="10"/>
        <rFont val="Arial"/>
        <family val="2"/>
      </rPr>
      <t>Line 11 Goal</t>
    </r>
    <r>
      <rPr>
        <sz val="10"/>
        <rFont val="Arial"/>
        <family val="2"/>
      </rPr>
      <t>:  New members to reach a net membership gain of +1 at end of year.</t>
    </r>
  </si>
  <si>
    <r>
      <rPr>
        <b/>
        <sz val="10"/>
        <rFont val="Arial"/>
        <family val="2"/>
      </rPr>
      <t>Line 15 Goal</t>
    </r>
    <r>
      <rPr>
        <sz val="10"/>
        <rFont val="Arial"/>
        <family val="2"/>
      </rPr>
      <t>:  At least one more than the Total Number of Active Members at the end of Previous Year on Line 15.</t>
    </r>
  </si>
  <si>
    <t xml:space="preserve">Total No. of active members this month (= Line 15)  </t>
  </si>
  <si>
    <t>Visitors in attendance (Visitors are all other non members, including speakers)</t>
  </si>
  <si>
    <r>
      <rPr>
        <b/>
        <sz val="10"/>
        <rFont val="Arial"/>
        <family val="2"/>
      </rPr>
      <t>Line 18   Total</t>
    </r>
    <r>
      <rPr>
        <sz val="10"/>
        <rFont val="Arial"/>
        <family val="2"/>
      </rPr>
      <t xml:space="preserve">:  The </t>
    </r>
    <r>
      <rPr>
        <u val="single"/>
        <sz val="10"/>
        <rFont val="Arial"/>
        <family val="2"/>
      </rPr>
      <t>Average</t>
    </r>
    <r>
      <rPr>
        <sz val="10"/>
        <rFont val="Arial"/>
        <family val="2"/>
      </rPr>
      <t xml:space="preserve"> % of active members in attendance (does not include Ladies Days Luncheons)</t>
    </r>
  </si>
  <si>
    <r>
      <rPr>
        <b/>
        <sz val="10"/>
        <rFont val="Arial"/>
        <family val="2"/>
      </rPr>
      <t>Line 18    Goal</t>
    </r>
    <r>
      <rPr>
        <sz val="10"/>
        <rFont val="Arial"/>
        <family val="2"/>
      </rPr>
      <t>:  At least 70% of the active members shown on line 15 for each regular, required monthly luncheon meeting.</t>
    </r>
  </si>
  <si>
    <r>
      <rPr>
        <b/>
        <sz val="10"/>
        <rFont val="Arial"/>
        <family val="2"/>
      </rPr>
      <t>MONTHLY DISTRIBUTION:</t>
    </r>
    <r>
      <rPr>
        <sz val="10"/>
        <rFont val="Arial"/>
        <family val="2"/>
      </rPr>
      <t xml:space="preserve">  BEC, RAMP Committee Chairs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ecruitment,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ctivities,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ember Relations,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ublicity), Area Governor, Region Director, sirstateform27@gmail.com</t>
    </r>
  </si>
  <si>
    <t>JAN</t>
  </si>
  <si>
    <t>DATE:</t>
  </si>
  <si>
    <t>Reporting Month:</t>
  </si>
  <si>
    <t xml:space="preserve">Enter "LDL" above Ladies Day months ==&gt; </t>
  </si>
  <si>
    <r>
      <rPr>
        <b/>
        <sz val="10"/>
        <rFont val="Arial"/>
        <family val="2"/>
      </rPr>
      <t>TOTAL NUMBER OF ACTIVITIES</t>
    </r>
    <r>
      <rPr>
        <sz val="10"/>
        <rFont val="Arial"/>
        <family val="2"/>
      </rPr>
      <t xml:space="preserve"> - not all active in a specific month</t>
    </r>
  </si>
  <si>
    <r>
      <rPr>
        <b/>
        <sz val="10"/>
        <rFont val="Arial"/>
        <family val="2"/>
      </rPr>
      <t>NUMBER OF COUPLES ACTIVITIES</t>
    </r>
    <r>
      <rPr>
        <sz val="10"/>
        <rFont val="Arial"/>
        <family val="2"/>
      </rPr>
      <t xml:space="preserve"> - not all active in a specific month</t>
    </r>
  </si>
  <si>
    <t>11A</t>
  </si>
  <si>
    <t>14A</t>
  </si>
  <si>
    <t>Total attendance (Lines 17+19+19B+20)</t>
  </si>
  <si>
    <t>15AA</t>
  </si>
  <si>
    <r>
      <t xml:space="preserve">PERCENT ACTIVE MEMBERS OUT </t>
    </r>
    <r>
      <rPr>
        <sz val="10"/>
        <rFont val="Arial"/>
        <family val="2"/>
      </rPr>
      <t>(year-to-date)</t>
    </r>
  </si>
  <si>
    <r>
      <t xml:space="preserve">PERCENT CHANGE IN ACTIVE MEMBERS </t>
    </r>
    <r>
      <rPr>
        <sz val="10"/>
        <rFont val="Arial"/>
        <family val="2"/>
      </rPr>
      <t>(year-to-date)</t>
    </r>
  </si>
  <si>
    <r>
      <t xml:space="preserve">MEDIAN BRANCH AGE </t>
    </r>
    <r>
      <rPr>
        <sz val="10"/>
        <rFont val="Arial"/>
        <family val="2"/>
      </rPr>
      <t>(Active Members)</t>
    </r>
  </si>
  <si>
    <r>
      <t xml:space="preserve">PERCENT 1st TIME GUESTS </t>
    </r>
    <r>
      <rPr>
        <sz val="10"/>
        <rFont val="Arial"/>
        <family val="2"/>
      </rPr>
      <t>(year-to-date)</t>
    </r>
  </si>
  <si>
    <r>
      <t xml:space="preserve">1st TIME GUESTS </t>
    </r>
    <r>
      <rPr>
        <sz val="10"/>
        <rFont val="Arial"/>
        <family val="2"/>
      </rPr>
      <t>(Guests are potential members only)</t>
    </r>
  </si>
  <si>
    <r>
      <t xml:space="preserve">PERCENT NEW ACTIVE MEMBERS IN </t>
    </r>
    <r>
      <rPr>
        <sz val="10"/>
        <rFont val="Arial"/>
        <family val="2"/>
      </rPr>
      <t>(year-to-date)</t>
    </r>
  </si>
  <si>
    <t xml:space="preserve">2.  The goals in Lines 11, 15, 15A, 18 and 19 are the most important for long term branch health and vitality. </t>
  </si>
  <si>
    <t>19AA</t>
  </si>
  <si>
    <t>*** REGION 6 - AREA 2 VERSION ***    ENHANCED FORM 27 - MONTHLY BRANCH MEMBERSHIP REPORT</t>
  </si>
  <si>
    <t>Form 27 Enhanced   *** Region 6 - Area 2 Version ***    Rev:06/19/2015</t>
  </si>
  <si>
    <t>LDL</t>
  </si>
  <si>
    <t>SIR Bob Donohue</t>
  </si>
  <si>
    <t>Big SIR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</si>
</sst>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;@"/>
    <numFmt numFmtId="166" formatCode="0;\-0;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sz val="26"/>
      <name val="Arial"/>
      <family val="2"/>
    </font>
    <font>
      <sz val="72"/>
      <name val="Wingdings"/>
      <family val="0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/>
      <top style="thin"/>
      <bottom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thick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 wrapText="1"/>
    </xf>
    <xf numFmtId="1" fontId="8" fillId="0" borderId="14" xfId="0" applyNumberFormat="1" applyFont="1" applyFill="1" applyBorder="1" applyAlignment="1" quotePrefix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 quotePrefix="1">
      <alignment horizontal="center" vertical="center" wrapText="1"/>
      <protection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/>
    </xf>
    <xf numFmtId="164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20" xfId="0" applyFont="1" applyFill="1" applyBorder="1" applyAlignment="1" applyProtection="1" quotePrefix="1">
      <alignment horizontal="center" vertical="center"/>
      <protection/>
    </xf>
    <xf numFmtId="0" fontId="10" fillId="33" borderId="17" xfId="0" applyFont="1" applyFill="1" applyBorder="1" applyAlignment="1" applyProtection="1" quotePrefix="1">
      <alignment horizontal="center" vertical="center"/>
      <protection/>
    </xf>
    <xf numFmtId="0" fontId="10" fillId="33" borderId="35" xfId="0" applyFont="1" applyFill="1" applyBorder="1" applyAlignment="1" applyProtection="1" quotePrefix="1">
      <alignment horizontal="center" vertical="center"/>
      <protection/>
    </xf>
    <xf numFmtId="0" fontId="10" fillId="34" borderId="3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37" xfId="0" applyFont="1" applyFill="1" applyBorder="1" applyAlignment="1" applyProtection="1" quotePrefix="1">
      <alignment horizontal="center" vertical="center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 applyProtection="1" quotePrefix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 quotePrefix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3" borderId="22" xfId="0" applyFont="1" applyFill="1" applyBorder="1" applyAlignment="1" applyProtection="1" quotePrefix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44" xfId="0" applyFont="1" applyFill="1" applyBorder="1" applyAlignment="1" applyProtection="1" quotePrefix="1">
      <alignment horizontal="center" vertical="center"/>
      <protection/>
    </xf>
    <xf numFmtId="0" fontId="10" fillId="34" borderId="42" xfId="0" applyFont="1" applyFill="1" applyBorder="1" applyAlignment="1">
      <alignment horizontal="center" vertical="center"/>
    </xf>
    <xf numFmtId="0" fontId="10" fillId="33" borderId="45" xfId="0" applyFont="1" applyFill="1" applyBorder="1" applyAlignment="1" applyProtection="1" quotePrefix="1">
      <alignment horizontal="center" vertical="center"/>
      <protection/>
    </xf>
    <xf numFmtId="0" fontId="10" fillId="33" borderId="43" xfId="0" applyFont="1" applyFill="1" applyBorder="1" applyAlignment="1" applyProtection="1" quotePrefix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34" borderId="4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 quotePrefix="1">
      <alignment horizontal="center" vertical="center"/>
      <protection locked="0"/>
    </xf>
    <xf numFmtId="0" fontId="10" fillId="34" borderId="22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 quotePrefix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 quotePrefix="1">
      <alignment horizontal="center" vertical="center"/>
      <protection locked="0"/>
    </xf>
    <xf numFmtId="0" fontId="10" fillId="33" borderId="31" xfId="0" applyFont="1" applyFill="1" applyBorder="1" applyAlignment="1" applyProtection="1" quotePrefix="1">
      <alignment horizontal="center" vertical="center"/>
      <protection/>
    </xf>
    <xf numFmtId="166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10" fillId="34" borderId="4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9" fontId="11" fillId="0" borderId="20" xfId="0" applyNumberFormat="1" applyFont="1" applyFill="1" applyBorder="1" applyAlignment="1" applyProtection="1" quotePrefix="1">
      <alignment horizontal="center" vertical="center"/>
      <protection locked="0"/>
    </xf>
    <xf numFmtId="9" fontId="11" fillId="0" borderId="43" xfId="0" applyNumberFormat="1" applyFont="1" applyFill="1" applyBorder="1" applyAlignment="1" applyProtection="1" quotePrefix="1">
      <alignment horizontal="center" vertical="center"/>
      <protection locked="0"/>
    </xf>
    <xf numFmtId="9" fontId="11" fillId="34" borderId="40" xfId="58" applyFont="1" applyFill="1" applyBorder="1" applyAlignment="1">
      <alignment horizontal="center" vertical="center"/>
    </xf>
    <xf numFmtId="9" fontId="11" fillId="34" borderId="18" xfId="58" applyFont="1" applyFill="1" applyBorder="1" applyAlignment="1">
      <alignment horizontal="center" vertical="center"/>
    </xf>
    <xf numFmtId="9" fontId="11" fillId="34" borderId="17" xfId="58" applyFont="1" applyFill="1" applyBorder="1" applyAlignment="1">
      <alignment horizontal="center" vertical="center"/>
    </xf>
    <xf numFmtId="9" fontId="11" fillId="34" borderId="17" xfId="0" applyNumberFormat="1" applyFont="1" applyFill="1" applyBorder="1" applyAlignment="1" applyProtection="1" quotePrefix="1">
      <alignment horizontal="center" vertical="center"/>
      <protection/>
    </xf>
    <xf numFmtId="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7" xfId="0" applyFont="1" applyFill="1" applyBorder="1" applyAlignment="1" quotePrefix="1">
      <alignment horizontal="center" vertical="center"/>
    </xf>
    <xf numFmtId="0" fontId="10" fillId="34" borderId="49" xfId="0" applyFont="1" applyFill="1" applyBorder="1" applyAlignment="1" applyProtection="1" quotePrefix="1">
      <alignment horizontal="center" vertical="center"/>
      <protection/>
    </xf>
    <xf numFmtId="0" fontId="10" fillId="34" borderId="50" xfId="0" applyFont="1" applyFill="1" applyBorder="1" applyAlignment="1" applyProtection="1" quotePrefix="1">
      <alignment horizontal="center" vertical="center"/>
      <protection/>
    </xf>
    <xf numFmtId="0" fontId="10" fillId="34" borderId="51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1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/>
    </xf>
    <xf numFmtId="0" fontId="0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9" fontId="11" fillId="33" borderId="38" xfId="0" applyNumberFormat="1" applyFont="1" applyFill="1" applyBorder="1" applyAlignment="1" applyProtection="1">
      <alignment horizontal="center" vertical="center"/>
      <protection/>
    </xf>
    <xf numFmtId="9" fontId="11" fillId="34" borderId="42" xfId="0" applyNumberFormat="1" applyFont="1" applyFill="1" applyBorder="1" applyAlignment="1" applyProtection="1">
      <alignment horizontal="center" vertical="center"/>
      <protection/>
    </xf>
    <xf numFmtId="9" fontId="11" fillId="33" borderId="22" xfId="0" applyNumberFormat="1" applyFont="1" applyFill="1" applyBorder="1" applyAlignment="1" applyProtection="1">
      <alignment horizontal="center" vertical="center"/>
      <protection/>
    </xf>
    <xf numFmtId="9" fontId="11" fillId="34" borderId="46" xfId="0" applyNumberFormat="1" applyFont="1" applyFill="1" applyBorder="1" applyAlignment="1" applyProtection="1">
      <alignment horizontal="center" vertical="center"/>
      <protection/>
    </xf>
    <xf numFmtId="9" fontId="11" fillId="33" borderId="20" xfId="0" applyNumberFormat="1" applyFont="1" applyFill="1" applyBorder="1" applyAlignment="1" applyProtection="1">
      <alignment horizontal="center" vertical="center"/>
      <protection/>
    </xf>
    <xf numFmtId="9" fontId="11" fillId="33" borderId="40" xfId="0" applyNumberFormat="1" applyFont="1" applyFill="1" applyBorder="1" applyAlignment="1" applyProtection="1">
      <alignment horizontal="center" vertical="center"/>
      <protection/>
    </xf>
    <xf numFmtId="9" fontId="11" fillId="33" borderId="18" xfId="0" applyNumberFormat="1" applyFont="1" applyFill="1" applyBorder="1" applyAlignment="1" applyProtection="1">
      <alignment horizontal="center" vertical="center"/>
      <protection/>
    </xf>
    <xf numFmtId="9" fontId="11" fillId="33" borderId="17" xfId="0" applyNumberFormat="1" applyFont="1" applyFill="1" applyBorder="1" applyAlignment="1" applyProtection="1">
      <alignment horizontal="center" vertical="center"/>
      <protection/>
    </xf>
    <xf numFmtId="9" fontId="11" fillId="33" borderId="21" xfId="0" applyNumberFormat="1" applyFont="1" applyFill="1" applyBorder="1" applyAlignment="1" applyProtection="1">
      <alignment horizontal="center" vertical="center"/>
      <protection/>
    </xf>
    <xf numFmtId="9" fontId="11" fillId="33" borderId="22" xfId="0" applyNumberFormat="1" applyFont="1" applyFill="1" applyBorder="1" applyAlignment="1" applyProtection="1" quotePrefix="1">
      <alignment horizontal="center" vertical="center"/>
      <protection/>
    </xf>
    <xf numFmtId="0" fontId="10" fillId="33" borderId="4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1" fillId="34" borderId="38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14" fontId="7" fillId="0" borderId="54" xfId="0" applyNumberFormat="1" applyFont="1" applyFill="1" applyBorder="1" applyAlignment="1" applyProtection="1">
      <alignment horizontal="center" vertical="center"/>
      <protection locked="0"/>
    </xf>
    <xf numFmtId="14" fontId="7" fillId="0" borderId="18" xfId="0" applyNumberFormat="1" applyFont="1" applyFill="1" applyBorder="1" applyAlignment="1" applyProtection="1">
      <alignment horizontal="center" vertical="center"/>
      <protection locked="0"/>
    </xf>
    <xf numFmtId="14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showGridLines="0" tabSelected="1" zoomScalePageLayoutView="0" workbookViewId="0" topLeftCell="A1">
      <selection activeCell="T10" sqref="T10"/>
    </sheetView>
  </sheetViews>
  <sheetFormatPr defaultColWidth="9.140625" defaultRowHeight="24.75" customHeight="1"/>
  <cols>
    <col min="1" max="10" width="7.7109375" style="4" customWidth="1"/>
    <col min="11" max="27" width="6.7109375" style="4" customWidth="1"/>
    <col min="28" max="29" width="7.7109375" style="4" customWidth="1"/>
    <col min="30" max="16384" width="9.140625" style="4" customWidth="1"/>
  </cols>
  <sheetData>
    <row r="1" spans="1:27" s="2" customFormat="1" ht="39.75" customHeight="1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6" s="2" customFormat="1" ht="15" customHeight="1">
      <c r="A2" s="1"/>
      <c r="B2" s="1"/>
      <c r="C2" s="1"/>
      <c r="D2" s="1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7" s="5" customFormat="1" ht="21">
      <c r="B3" s="163"/>
      <c r="C3" s="163"/>
      <c r="D3" s="163"/>
      <c r="E3" s="163"/>
      <c r="F3" s="163"/>
      <c r="H3" s="67" t="s">
        <v>0</v>
      </c>
      <c r="I3" s="172">
        <v>2015</v>
      </c>
      <c r="J3" s="173"/>
      <c r="O3" s="71" t="s">
        <v>73</v>
      </c>
      <c r="P3" s="178" t="s">
        <v>54</v>
      </c>
      <c r="Q3" s="179"/>
      <c r="T3" s="67" t="s">
        <v>1</v>
      </c>
      <c r="U3" s="68">
        <v>6</v>
      </c>
      <c r="W3" s="67" t="s">
        <v>2</v>
      </c>
      <c r="X3" s="68">
        <v>2</v>
      </c>
      <c r="Z3" s="67" t="s">
        <v>3</v>
      </c>
      <c r="AA3" s="69">
        <v>116</v>
      </c>
    </row>
    <row r="4" spans="5:23" s="8" customFormat="1" ht="12.75" hidden="1">
      <c r="E4" s="142"/>
      <c r="F4" s="142"/>
      <c r="K4" s="61" t="s">
        <v>71</v>
      </c>
      <c r="L4" s="61" t="s">
        <v>44</v>
      </c>
      <c r="M4" s="61" t="s">
        <v>45</v>
      </c>
      <c r="N4" s="61" t="s">
        <v>46</v>
      </c>
      <c r="O4" s="61" t="s">
        <v>47</v>
      </c>
      <c r="P4" s="61" t="s">
        <v>48</v>
      </c>
      <c r="Q4" s="61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61" t="s">
        <v>54</v>
      </c>
      <c r="W4" s="61">
        <f>MATCH((P3),K4:V4,0)</f>
        <v>12</v>
      </c>
    </row>
    <row r="5" spans="5:23" s="8" customFormat="1" ht="12.75">
      <c r="E5" s="142"/>
      <c r="F5" s="14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6" s="8" customFormat="1" ht="17.25" customHeight="1" thickBo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77" t="s">
        <v>37</v>
      </c>
      <c r="L6" s="177"/>
      <c r="M6" s="177"/>
      <c r="N6" s="10"/>
      <c r="O6" s="10"/>
      <c r="P6" s="11"/>
      <c r="Q6" s="11"/>
      <c r="R6" s="10"/>
      <c r="S6" s="10"/>
      <c r="T6" s="10"/>
      <c r="U6" s="10"/>
      <c r="V6" s="10"/>
      <c r="W6" s="10"/>
      <c r="X6" s="10"/>
      <c r="Y6" s="10"/>
      <c r="Z6" s="10"/>
    </row>
    <row r="7" spans="1:27" s="8" customFormat="1" ht="27" thickBot="1">
      <c r="A7" s="12" t="s">
        <v>5</v>
      </c>
      <c r="B7" s="181" t="s">
        <v>6</v>
      </c>
      <c r="C7" s="182"/>
      <c r="D7" s="182"/>
      <c r="E7" s="182"/>
      <c r="F7" s="182"/>
      <c r="G7" s="182"/>
      <c r="H7" s="182"/>
      <c r="I7" s="182"/>
      <c r="J7" s="183"/>
      <c r="K7" s="13">
        <f>IF((I3-3)&lt;0,"",(I3-3))</f>
        <v>2012</v>
      </c>
      <c r="L7" s="14">
        <f>IF((I3-2)&lt;0,"",(I3-2))</f>
        <v>2013</v>
      </c>
      <c r="M7" s="15">
        <f>IF((I3-1)&lt;0,"",(I3-1))</f>
        <v>2014</v>
      </c>
      <c r="N7" s="16" t="s">
        <v>7</v>
      </c>
      <c r="O7" s="17" t="s">
        <v>8</v>
      </c>
      <c r="P7" s="18" t="s">
        <v>9</v>
      </c>
      <c r="Q7" s="17" t="s">
        <v>10</v>
      </c>
      <c r="R7" s="18" t="s">
        <v>11</v>
      </c>
      <c r="S7" s="17" t="s">
        <v>12</v>
      </c>
      <c r="T7" s="18" t="s">
        <v>13</v>
      </c>
      <c r="U7" s="17" t="s">
        <v>14</v>
      </c>
      <c r="V7" s="18" t="s">
        <v>15</v>
      </c>
      <c r="W7" s="17" t="s">
        <v>16</v>
      </c>
      <c r="X7" s="18" t="s">
        <v>17</v>
      </c>
      <c r="Y7" s="17" t="s">
        <v>18</v>
      </c>
      <c r="Z7" s="19" t="s">
        <v>19</v>
      </c>
      <c r="AA7" s="12" t="s">
        <v>20</v>
      </c>
    </row>
    <row r="8" spans="1:31" s="8" customFormat="1" ht="17.25" customHeight="1">
      <c r="A8" s="20">
        <v>1</v>
      </c>
      <c r="B8" s="184" t="s">
        <v>55</v>
      </c>
      <c r="C8" s="185"/>
      <c r="D8" s="185"/>
      <c r="E8" s="185"/>
      <c r="F8" s="185"/>
      <c r="G8" s="185"/>
      <c r="H8" s="185"/>
      <c r="I8" s="185"/>
      <c r="J8" s="186"/>
      <c r="K8" s="75" t="s">
        <v>21</v>
      </c>
      <c r="L8" s="76" t="s">
        <v>21</v>
      </c>
      <c r="M8" s="77" t="s">
        <v>21</v>
      </c>
      <c r="N8" s="78">
        <f>IF(1&gt;W4,"",M24)</f>
        <v>238</v>
      </c>
      <c r="O8" s="79">
        <f>IF(2&gt;W4,"",N24)</f>
        <v>238</v>
      </c>
      <c r="P8" s="79">
        <f>IF(3&gt;W4,"",O24)</f>
        <v>242</v>
      </c>
      <c r="Q8" s="79">
        <f>IF(4&gt;W4,"",P24)</f>
        <v>244</v>
      </c>
      <c r="R8" s="79">
        <f>IF(5&gt;W4,"",Q24)</f>
        <v>246</v>
      </c>
      <c r="S8" s="79">
        <f>IF(6&gt;W4,"",R24)</f>
        <v>245</v>
      </c>
      <c r="T8" s="79">
        <f>IF(7&gt;W4,"",S24)</f>
        <v>242</v>
      </c>
      <c r="U8" s="79">
        <f>IF(8&gt;W4,"",T24)</f>
        <v>242</v>
      </c>
      <c r="V8" s="79">
        <f>IF(9&gt;W4,"",U24)</f>
        <v>239</v>
      </c>
      <c r="W8" s="79">
        <f>IF(10&gt;W4,"",V24)</f>
        <v>239</v>
      </c>
      <c r="X8" s="79">
        <f>IF(11&gt;W4,"",W24)</f>
        <v>242</v>
      </c>
      <c r="Y8" s="79">
        <f>IF(12&gt;W4,"",X24)</f>
        <v>242</v>
      </c>
      <c r="Z8" s="80" t="s">
        <v>21</v>
      </c>
      <c r="AA8" s="80" t="s">
        <v>21</v>
      </c>
      <c r="AE8" s="58"/>
    </row>
    <row r="9" spans="1:27" s="8" customFormat="1" ht="17.25" customHeight="1">
      <c r="A9" s="22">
        <v>2</v>
      </c>
      <c r="B9" s="23" t="s">
        <v>56</v>
      </c>
      <c r="C9" s="24"/>
      <c r="D9" s="24"/>
      <c r="E9" s="24"/>
      <c r="F9" s="24"/>
      <c r="G9" s="24"/>
      <c r="H9" s="24"/>
      <c r="I9" s="24"/>
      <c r="J9" s="24"/>
      <c r="K9" s="75" t="s">
        <v>21</v>
      </c>
      <c r="L9" s="76" t="s">
        <v>21</v>
      </c>
      <c r="M9" s="77" t="s">
        <v>21</v>
      </c>
      <c r="N9" s="81">
        <f>IF(1&gt;W4,"",M13)</f>
        <v>53</v>
      </c>
      <c r="O9" s="82">
        <f>IF(2&gt;W4,"",N13)</f>
        <v>49</v>
      </c>
      <c r="P9" s="82">
        <f>IF(3&gt;W4,"",O13)</f>
        <v>47</v>
      </c>
      <c r="Q9" s="82">
        <f>IF(4&gt;W4,"",P13)</f>
        <v>47</v>
      </c>
      <c r="R9" s="82">
        <f>IF(5&gt;W4,"",Q13)</f>
        <v>38</v>
      </c>
      <c r="S9" s="82">
        <f>IF(6&gt;W4,"",R13)</f>
        <v>34</v>
      </c>
      <c r="T9" s="82">
        <f>IF(7&gt;W4,"",S13)</f>
        <v>37</v>
      </c>
      <c r="U9" s="82">
        <f>IF(8&gt;W4,"",T13)</f>
        <v>37</v>
      </c>
      <c r="V9" s="82">
        <f>IF(9&gt;W4,"",U13)</f>
        <v>39</v>
      </c>
      <c r="W9" s="82">
        <f>IF(10&gt;W4,"",V13)</f>
        <v>32</v>
      </c>
      <c r="X9" s="82">
        <f>IF(11&gt;W4,"",W13)</f>
        <v>20</v>
      </c>
      <c r="Y9" s="82">
        <f>IF(12&gt;W4,"",X13)</f>
        <v>18</v>
      </c>
      <c r="Z9" s="83" t="s">
        <v>21</v>
      </c>
      <c r="AA9" s="76" t="s">
        <v>21</v>
      </c>
    </row>
    <row r="10" spans="1:27" s="8" customFormat="1" ht="17.25" customHeight="1">
      <c r="A10" s="22">
        <v>3</v>
      </c>
      <c r="B10" s="25" t="s">
        <v>38</v>
      </c>
      <c r="C10" s="26"/>
      <c r="D10" s="26"/>
      <c r="E10" s="26"/>
      <c r="F10" s="26"/>
      <c r="G10" s="26"/>
      <c r="H10" s="26"/>
      <c r="I10" s="26"/>
      <c r="J10" s="27"/>
      <c r="K10" s="75" t="s">
        <v>21</v>
      </c>
      <c r="L10" s="76" t="s">
        <v>21</v>
      </c>
      <c r="M10" s="77" t="s">
        <v>21</v>
      </c>
      <c r="N10" s="84">
        <v>0</v>
      </c>
      <c r="O10" s="85">
        <v>1</v>
      </c>
      <c r="P10" s="86">
        <v>0</v>
      </c>
      <c r="Q10" s="87">
        <v>0</v>
      </c>
      <c r="R10" s="88">
        <v>1</v>
      </c>
      <c r="S10" s="87">
        <v>3</v>
      </c>
      <c r="T10" s="86">
        <v>0</v>
      </c>
      <c r="U10" s="85">
        <v>2</v>
      </c>
      <c r="V10" s="86">
        <v>1</v>
      </c>
      <c r="W10" s="87">
        <v>0</v>
      </c>
      <c r="X10" s="88">
        <v>0</v>
      </c>
      <c r="Y10" s="86">
        <v>0</v>
      </c>
      <c r="Z10" s="76">
        <f>SUM(N10:Y10)</f>
        <v>8</v>
      </c>
      <c r="AA10" s="89" t="s">
        <v>21</v>
      </c>
    </row>
    <row r="11" spans="1:27" s="8" customFormat="1" ht="17.25" customHeight="1">
      <c r="A11" s="22">
        <v>4</v>
      </c>
      <c r="B11" s="25" t="s">
        <v>39</v>
      </c>
      <c r="C11" s="26"/>
      <c r="D11" s="26"/>
      <c r="E11" s="26"/>
      <c r="F11" s="26"/>
      <c r="G11" s="26"/>
      <c r="H11" s="26"/>
      <c r="I11" s="26"/>
      <c r="J11" s="27"/>
      <c r="K11" s="75" t="s">
        <v>21</v>
      </c>
      <c r="L11" s="76" t="s">
        <v>21</v>
      </c>
      <c r="M11" s="77" t="s">
        <v>21</v>
      </c>
      <c r="N11" s="90">
        <v>0</v>
      </c>
      <c r="O11" s="85">
        <v>3</v>
      </c>
      <c r="P11" s="86">
        <v>0</v>
      </c>
      <c r="Q11" s="87">
        <v>0</v>
      </c>
      <c r="R11" s="88">
        <v>1</v>
      </c>
      <c r="S11" s="87">
        <v>0</v>
      </c>
      <c r="T11" s="86">
        <v>0</v>
      </c>
      <c r="U11" s="85">
        <v>0</v>
      </c>
      <c r="V11" s="86">
        <v>1</v>
      </c>
      <c r="W11" s="87">
        <v>1</v>
      </c>
      <c r="X11" s="88">
        <v>0</v>
      </c>
      <c r="Y11" s="91">
        <v>0</v>
      </c>
      <c r="Z11" s="76">
        <f>SUM(N11:Y11)</f>
        <v>6</v>
      </c>
      <c r="AA11" s="76" t="s">
        <v>21</v>
      </c>
    </row>
    <row r="12" spans="1:27" s="8" customFormat="1" ht="17.25" customHeight="1">
      <c r="A12" s="22">
        <v>5</v>
      </c>
      <c r="B12" s="25" t="s">
        <v>57</v>
      </c>
      <c r="C12" s="26"/>
      <c r="D12" s="26"/>
      <c r="E12" s="26"/>
      <c r="F12" s="26"/>
      <c r="G12" s="26"/>
      <c r="H12" s="26"/>
      <c r="I12" s="26"/>
      <c r="J12" s="27"/>
      <c r="K12" s="75" t="s">
        <v>21</v>
      </c>
      <c r="L12" s="76" t="s">
        <v>21</v>
      </c>
      <c r="M12" s="77" t="s">
        <v>21</v>
      </c>
      <c r="N12" s="90">
        <v>4</v>
      </c>
      <c r="O12" s="86">
        <v>0</v>
      </c>
      <c r="P12" s="92">
        <v>0</v>
      </c>
      <c r="Q12" s="86">
        <v>9</v>
      </c>
      <c r="R12" s="87">
        <v>4</v>
      </c>
      <c r="S12" s="86">
        <v>0</v>
      </c>
      <c r="T12" s="91">
        <v>0</v>
      </c>
      <c r="U12" s="86">
        <v>0</v>
      </c>
      <c r="V12" s="92">
        <v>7</v>
      </c>
      <c r="W12" s="87">
        <v>11</v>
      </c>
      <c r="X12" s="91">
        <v>2</v>
      </c>
      <c r="Y12" s="86">
        <v>1</v>
      </c>
      <c r="Z12" s="76">
        <f>SUM(N12:Y12)</f>
        <v>38</v>
      </c>
      <c r="AA12" s="89" t="s">
        <v>21</v>
      </c>
    </row>
    <row r="13" spans="1:27" s="8" customFormat="1" ht="17.25" customHeight="1">
      <c r="A13" s="22">
        <v>6</v>
      </c>
      <c r="B13" s="25" t="s">
        <v>58</v>
      </c>
      <c r="C13" s="26"/>
      <c r="D13" s="26"/>
      <c r="E13" s="26"/>
      <c r="F13" s="26"/>
      <c r="G13" s="26"/>
      <c r="H13" s="26"/>
      <c r="I13" s="26"/>
      <c r="J13" s="26"/>
      <c r="K13" s="88">
        <v>47</v>
      </c>
      <c r="L13" s="88">
        <v>60</v>
      </c>
      <c r="M13" s="93">
        <v>53</v>
      </c>
      <c r="N13" s="94">
        <f>IF(1&gt;W4,"",(N9+N10-N11-N12))</f>
        <v>49</v>
      </c>
      <c r="O13" s="95">
        <f>IF(2&gt;W4,"",(O9+O10-O11-O12))</f>
        <v>47</v>
      </c>
      <c r="P13" s="95">
        <f>IF(3&gt;W4,"",(P9+P10-P11-P12))</f>
        <v>47</v>
      </c>
      <c r="Q13" s="95">
        <f>IF(4&gt;W4,"",(Q9+Q10-Q11-Q12))</f>
        <v>38</v>
      </c>
      <c r="R13" s="95">
        <f>IF(5&gt;W4,"",(R9+R10-R11-R12))</f>
        <v>34</v>
      </c>
      <c r="S13" s="95">
        <f>IF(6&gt;W4,"",(S9+S10-S11-S12))</f>
        <v>37</v>
      </c>
      <c r="T13" s="95">
        <f>IF(7&gt;W4,"",(T9+T10-T11-T12))</f>
        <v>37</v>
      </c>
      <c r="U13" s="95">
        <f>IF(8&gt;W4,"",(U9+U10-U11-U12))</f>
        <v>39</v>
      </c>
      <c r="V13" s="95">
        <f>IF(9&gt;W4,"",(V9+V10-V11-V12))</f>
        <v>32</v>
      </c>
      <c r="W13" s="95">
        <f>IF(10&gt;W4,"",(W9+W10-W11-W12))</f>
        <v>20</v>
      </c>
      <c r="X13" s="95">
        <f>IF(11&gt;W4,"",(X9+X10-X11-X12))</f>
        <v>18</v>
      </c>
      <c r="Y13" s="95">
        <f>IF(12&gt;W4,"",(Y9+Y10-Y11-Y12))</f>
        <v>17</v>
      </c>
      <c r="Z13" s="89" t="s">
        <v>21</v>
      </c>
      <c r="AA13" s="76" t="s">
        <v>21</v>
      </c>
    </row>
    <row r="14" spans="1:27" s="8" customFormat="1" ht="17.25" customHeight="1">
      <c r="A14" s="22">
        <v>7</v>
      </c>
      <c r="B14" s="187" t="s">
        <v>59</v>
      </c>
      <c r="C14" s="188"/>
      <c r="D14" s="188"/>
      <c r="E14" s="188"/>
      <c r="F14" s="188"/>
      <c r="G14" s="188"/>
      <c r="H14" s="188"/>
      <c r="I14" s="188"/>
      <c r="J14" s="189"/>
      <c r="K14" s="96" t="s">
        <v>21</v>
      </c>
      <c r="L14" s="97" t="str">
        <f>K20</f>
        <v>-----</v>
      </c>
      <c r="M14" s="98" t="s">
        <v>21</v>
      </c>
      <c r="N14" s="99">
        <f>IF(1&gt;W4,"",M20)</f>
        <v>4</v>
      </c>
      <c r="O14" s="82">
        <f>IF(2&gt;W4,"",N20)</f>
        <v>2</v>
      </c>
      <c r="P14" s="82">
        <f>IF(3&gt;W4,"",O20)</f>
        <v>2</v>
      </c>
      <c r="Q14" s="82">
        <f>IF(4&gt;W4,"",P20)</f>
        <v>2</v>
      </c>
      <c r="R14" s="82">
        <f>IF(5&gt;W4,"",Q20)</f>
        <v>0</v>
      </c>
      <c r="S14" s="82">
        <f>IF(6&gt;W4,"",R20)</f>
        <v>2</v>
      </c>
      <c r="T14" s="82">
        <f>IF(7&gt;W4,"",S20)</f>
        <v>1</v>
      </c>
      <c r="U14" s="82">
        <f>IF(8&gt;W4,"",T20)</f>
        <v>0</v>
      </c>
      <c r="V14" s="82">
        <f>IF(9&gt;W4,"",U20)</f>
        <v>2</v>
      </c>
      <c r="W14" s="82">
        <f>IF(10&gt;W4,"",V20)</f>
        <v>0</v>
      </c>
      <c r="X14" s="82">
        <f>IF(11&gt;W4,"",W20)</f>
        <v>0</v>
      </c>
      <c r="Y14" s="82">
        <f>IF(12&gt;W4,"",X20)</f>
        <v>0</v>
      </c>
      <c r="Z14" s="76" t="s">
        <v>21</v>
      </c>
      <c r="AA14" s="76" t="s">
        <v>21</v>
      </c>
    </row>
    <row r="15" spans="1:27" s="8" customFormat="1" ht="17.25" customHeight="1">
      <c r="A15" s="22">
        <v>8</v>
      </c>
      <c r="B15" s="25" t="s">
        <v>40</v>
      </c>
      <c r="C15" s="26"/>
      <c r="D15" s="26"/>
      <c r="E15" s="26"/>
      <c r="F15" s="26"/>
      <c r="G15" s="26"/>
      <c r="H15" s="26"/>
      <c r="I15" s="26"/>
      <c r="J15" s="27"/>
      <c r="K15" s="75" t="s">
        <v>21</v>
      </c>
      <c r="L15" s="76" t="s">
        <v>21</v>
      </c>
      <c r="M15" s="100" t="s">
        <v>21</v>
      </c>
      <c r="N15" s="84">
        <v>0</v>
      </c>
      <c r="O15" s="85">
        <v>0</v>
      </c>
      <c r="P15" s="88">
        <v>0</v>
      </c>
      <c r="Q15" s="85">
        <v>0</v>
      </c>
      <c r="R15" s="88">
        <v>0</v>
      </c>
      <c r="S15" s="85">
        <v>0</v>
      </c>
      <c r="T15" s="88">
        <v>0</v>
      </c>
      <c r="U15" s="85">
        <v>0</v>
      </c>
      <c r="V15" s="88">
        <v>0</v>
      </c>
      <c r="W15" s="85">
        <v>0</v>
      </c>
      <c r="X15" s="88">
        <v>0</v>
      </c>
      <c r="Y15" s="86">
        <v>0</v>
      </c>
      <c r="Z15" s="76">
        <f>SUM(N15:Y15)</f>
        <v>0</v>
      </c>
      <c r="AA15" s="89" t="s">
        <v>21</v>
      </c>
    </row>
    <row r="16" spans="1:27" s="8" customFormat="1" ht="17.25" customHeight="1">
      <c r="A16" s="22">
        <v>9</v>
      </c>
      <c r="B16" s="25" t="s">
        <v>41</v>
      </c>
      <c r="C16" s="23"/>
      <c r="D16" s="23"/>
      <c r="E16" s="23"/>
      <c r="F16" s="23"/>
      <c r="G16" s="23"/>
      <c r="H16" s="23"/>
      <c r="I16" s="23"/>
      <c r="J16" s="28"/>
      <c r="K16" s="75" t="s">
        <v>21</v>
      </c>
      <c r="L16" s="76" t="s">
        <v>21</v>
      </c>
      <c r="M16" s="101" t="s">
        <v>21</v>
      </c>
      <c r="N16" s="84">
        <v>2</v>
      </c>
      <c r="O16" s="85">
        <v>2</v>
      </c>
      <c r="P16" s="88">
        <v>2</v>
      </c>
      <c r="Q16" s="85">
        <v>0</v>
      </c>
      <c r="R16" s="88">
        <v>2</v>
      </c>
      <c r="S16" s="85">
        <v>1</v>
      </c>
      <c r="T16" s="102">
        <v>0</v>
      </c>
      <c r="U16" s="88">
        <v>2</v>
      </c>
      <c r="V16" s="85">
        <v>0</v>
      </c>
      <c r="W16" s="88">
        <v>3</v>
      </c>
      <c r="X16" s="103">
        <v>0</v>
      </c>
      <c r="Y16" s="88">
        <v>0</v>
      </c>
      <c r="Z16" s="76">
        <f>SUM(N16:Y16)</f>
        <v>14</v>
      </c>
      <c r="AA16" s="76" t="s">
        <v>21</v>
      </c>
    </row>
    <row r="17" spans="1:27" s="8" customFormat="1" ht="17.25" customHeight="1">
      <c r="A17" s="22">
        <v>10</v>
      </c>
      <c r="B17" s="25" t="s">
        <v>42</v>
      </c>
      <c r="C17" s="26"/>
      <c r="D17" s="26"/>
      <c r="E17" s="26"/>
      <c r="F17" s="26"/>
      <c r="G17" s="26"/>
      <c r="H17" s="26"/>
      <c r="I17" s="26"/>
      <c r="J17" s="27"/>
      <c r="K17" s="75" t="s">
        <v>21</v>
      </c>
      <c r="L17" s="76" t="s">
        <v>21</v>
      </c>
      <c r="M17" s="101" t="s">
        <v>21</v>
      </c>
      <c r="N17" s="84">
        <v>4</v>
      </c>
      <c r="O17" s="88">
        <v>2</v>
      </c>
      <c r="P17" s="103">
        <v>2</v>
      </c>
      <c r="Q17" s="88">
        <v>2</v>
      </c>
      <c r="R17" s="85">
        <v>0</v>
      </c>
      <c r="S17" s="88">
        <v>2</v>
      </c>
      <c r="T17" s="102">
        <v>1</v>
      </c>
      <c r="U17" s="88">
        <v>0</v>
      </c>
      <c r="V17" s="103">
        <v>2</v>
      </c>
      <c r="W17" s="85">
        <v>3</v>
      </c>
      <c r="X17" s="102">
        <v>0</v>
      </c>
      <c r="Y17" s="88">
        <v>0</v>
      </c>
      <c r="Z17" s="76">
        <f>SUM(N17:Y17)</f>
        <v>18</v>
      </c>
      <c r="AA17" s="89" t="s">
        <v>21</v>
      </c>
    </row>
    <row r="18" spans="1:27" s="8" customFormat="1" ht="17.25" customHeight="1">
      <c r="A18" s="29">
        <v>11</v>
      </c>
      <c r="B18" s="30" t="s">
        <v>60</v>
      </c>
      <c r="C18" s="23"/>
      <c r="D18" s="23"/>
      <c r="E18" s="23"/>
      <c r="F18" s="23"/>
      <c r="G18" s="23"/>
      <c r="H18" s="23"/>
      <c r="I18" s="23"/>
      <c r="J18" s="23"/>
      <c r="K18" s="104">
        <v>25</v>
      </c>
      <c r="L18" s="104">
        <v>32</v>
      </c>
      <c r="M18" s="105">
        <v>16</v>
      </c>
      <c r="N18" s="106">
        <f>IF(1&gt;W4,"",(N11+N17))</f>
        <v>4</v>
      </c>
      <c r="O18" s="107">
        <f>IF(2&gt;W4,"",(O11+O17))</f>
        <v>5</v>
      </c>
      <c r="P18" s="107">
        <f>IF(3&gt;W4,"",(P11+P17))</f>
        <v>2</v>
      </c>
      <c r="Q18" s="107">
        <f>IF(4&gt;W4,"",(Q11+Q17))</f>
        <v>2</v>
      </c>
      <c r="R18" s="107">
        <f>IF(5&gt;W4,"",(R11+R17))</f>
        <v>1</v>
      </c>
      <c r="S18" s="107">
        <f>IF(6&gt;W4,"",(S11+S17))</f>
        <v>2</v>
      </c>
      <c r="T18" s="107">
        <f>IF(7&gt;W4,"",(T11+T17))</f>
        <v>1</v>
      </c>
      <c r="U18" s="107">
        <f>IF(8&gt;W4,"",(U11+U17))</f>
        <v>0</v>
      </c>
      <c r="V18" s="107">
        <f>IF(9&gt;W4,"",(V11+V17))</f>
        <v>3</v>
      </c>
      <c r="W18" s="107">
        <f>IF(10&gt;W4,"",(W11+W17))</f>
        <v>4</v>
      </c>
      <c r="X18" s="107">
        <f>IF(11&gt;W4,"",(X11+X17))</f>
        <v>0</v>
      </c>
      <c r="Y18" s="107">
        <f>IF(12&gt;W4,"",(Y11+Y17))</f>
        <v>0</v>
      </c>
      <c r="Z18" s="108">
        <f>SUM(N18:Y18)</f>
        <v>24</v>
      </c>
      <c r="AA18" s="109">
        <v>25</v>
      </c>
    </row>
    <row r="19" spans="1:27" s="8" customFormat="1" ht="17.25" customHeight="1">
      <c r="A19" s="29" t="s">
        <v>77</v>
      </c>
      <c r="B19" s="30" t="s">
        <v>86</v>
      </c>
      <c r="C19" s="23"/>
      <c r="D19" s="23"/>
      <c r="E19" s="23"/>
      <c r="F19" s="23"/>
      <c r="G19" s="23"/>
      <c r="H19" s="23"/>
      <c r="I19" s="23"/>
      <c r="J19" s="23"/>
      <c r="K19" s="96" t="s">
        <v>21</v>
      </c>
      <c r="L19" s="148">
        <f>IF(L18="","",IF(K24="","",L18/K24))</f>
        <v>0.12749003984063745</v>
      </c>
      <c r="M19" s="148">
        <f>IF(M18="","",IF(L24="","",M18/L24))</f>
        <v>0.06374501992031872</v>
      </c>
      <c r="N19" s="147">
        <f>IF(1&gt;W4,"",(N18/M24))</f>
        <v>0.01680672268907563</v>
      </c>
      <c r="O19" s="148">
        <f>IF(2&gt;W4,"",(SUM(N18:O18)/M24))</f>
        <v>0.037815126050420166</v>
      </c>
      <c r="P19" s="148">
        <f>IF(3&gt;W4,"",(SUM(N18:P18)/M24))</f>
        <v>0.046218487394957986</v>
      </c>
      <c r="Q19" s="148">
        <f>IF(4&gt;W4,"",(SUM(N18:Q18)/M24))</f>
        <v>0.0546218487394958</v>
      </c>
      <c r="R19" s="148">
        <f>IF(5&gt;W4,"",(SUM(N18:R18)/M24))</f>
        <v>0.058823529411764705</v>
      </c>
      <c r="S19" s="148">
        <f>IF(6&gt;W4,"",(SUM(N18:S18)/M24))</f>
        <v>0.06722689075630252</v>
      </c>
      <c r="T19" s="148">
        <f>IF(7&gt;W4,"",(SUM(N18:T18)/M24))</f>
        <v>0.07142857142857142</v>
      </c>
      <c r="U19" s="148">
        <f>IF(8&gt;W4,"",(SUM(N18:U18)/M24))</f>
        <v>0.07142857142857142</v>
      </c>
      <c r="V19" s="148">
        <f>IF(9&gt;W4,"",(SUM(N18:V18)/M24))</f>
        <v>0.08403361344537816</v>
      </c>
      <c r="W19" s="148">
        <f>IF(10&gt;W4,"",(SUM(N18:W18)/M24))</f>
        <v>0.10084033613445378</v>
      </c>
      <c r="X19" s="148">
        <f>IF(11&gt;W4,"",(SUM(N18:X18)/M24))</f>
        <v>0.10084033613445378</v>
      </c>
      <c r="Y19" s="148">
        <f>IF(12&gt;W4,"",(SUM(N18:Y18)/M24))</f>
        <v>0.10084033613445378</v>
      </c>
      <c r="Z19" s="149">
        <f>(Z18/M24)</f>
        <v>0.10084033613445378</v>
      </c>
      <c r="AA19" s="153">
        <f>(AA18/M24)</f>
        <v>0.10504201680672269</v>
      </c>
    </row>
    <row r="20" spans="1:27" s="8" customFormat="1" ht="17.25" customHeight="1">
      <c r="A20" s="22">
        <v>12</v>
      </c>
      <c r="B20" s="25" t="s">
        <v>61</v>
      </c>
      <c r="C20" s="23"/>
      <c r="D20" s="23"/>
      <c r="E20" s="23"/>
      <c r="F20" s="23"/>
      <c r="G20" s="23"/>
      <c r="H20" s="23"/>
      <c r="I20" s="23"/>
      <c r="J20" s="23"/>
      <c r="K20" s="96" t="s">
        <v>21</v>
      </c>
      <c r="L20" s="96" t="s">
        <v>21</v>
      </c>
      <c r="M20" s="110">
        <v>4</v>
      </c>
      <c r="N20" s="99">
        <f>IF(1&gt;W4,"",(N14-N15+N16-N17))</f>
        <v>2</v>
      </c>
      <c r="O20" s="111">
        <f>IF(2&gt;W4,"",(O14-O15+O16-O17))</f>
        <v>2</v>
      </c>
      <c r="P20" s="111">
        <f>IF(3&gt;W4,"",(P14-P15+P16-P17))</f>
        <v>2</v>
      </c>
      <c r="Q20" s="111">
        <f>IF(4&gt;W4,"",(Q14-Q15+Q16-Q17))</f>
        <v>0</v>
      </c>
      <c r="R20" s="111">
        <f>IF(5&gt;W4,"",(R14-R15+R16-R17))</f>
        <v>2</v>
      </c>
      <c r="S20" s="111">
        <f>IF(6&gt;W4,"",(S14-S15+S16-S17))</f>
        <v>1</v>
      </c>
      <c r="T20" s="111">
        <f>IF(7&gt;W4,"",(T14-T15+T16-T17))</f>
        <v>0</v>
      </c>
      <c r="U20" s="111">
        <f>IF(8&gt;W4,"",(U14-U15+U16-U17))</f>
        <v>2</v>
      </c>
      <c r="V20" s="111">
        <f>IF(9&gt;W4,"",(V14-V15+V16-V17))</f>
        <v>0</v>
      </c>
      <c r="W20" s="111">
        <f>IF(10&gt;W4,"",(W14-W15+W16-W17))</f>
        <v>0</v>
      </c>
      <c r="X20" s="111">
        <f>IF(11&gt;W4,"",(X14-X15+X16-X17))</f>
        <v>0</v>
      </c>
      <c r="Y20" s="111">
        <f>IF(12&gt;W4,"",(Y14-Y15+Y16-Y17))</f>
        <v>0</v>
      </c>
      <c r="Z20" s="76" t="s">
        <v>21</v>
      </c>
      <c r="AA20" s="89" t="s">
        <v>21</v>
      </c>
    </row>
    <row r="21" spans="1:27" s="8" customFormat="1" ht="17.25" customHeight="1">
      <c r="A21" s="22">
        <v>13</v>
      </c>
      <c r="B21" s="31" t="s">
        <v>36</v>
      </c>
      <c r="C21" s="23"/>
      <c r="D21" s="23"/>
      <c r="E21" s="23"/>
      <c r="F21" s="23"/>
      <c r="G21" s="23"/>
      <c r="H21" s="23"/>
      <c r="I21" s="23"/>
      <c r="J21" s="23"/>
      <c r="K21" s="76" t="s">
        <v>21</v>
      </c>
      <c r="L21" s="76" t="s">
        <v>21</v>
      </c>
      <c r="M21" s="101" t="s">
        <v>21</v>
      </c>
      <c r="N21" s="90">
        <v>4</v>
      </c>
      <c r="O21" s="102">
        <v>0</v>
      </c>
      <c r="P21" s="86">
        <v>0</v>
      </c>
      <c r="Q21" s="87">
        <v>0</v>
      </c>
      <c r="R21" s="88">
        <v>1</v>
      </c>
      <c r="S21" s="92">
        <v>2</v>
      </c>
      <c r="T21" s="91">
        <v>1</v>
      </c>
      <c r="U21" s="86">
        <v>1</v>
      </c>
      <c r="V21" s="87">
        <v>2</v>
      </c>
      <c r="W21" s="86">
        <v>1</v>
      </c>
      <c r="X21" s="85">
        <v>0</v>
      </c>
      <c r="Y21" s="86">
        <v>0</v>
      </c>
      <c r="Z21" s="89">
        <f>SUM(N21:Y21)</f>
        <v>12</v>
      </c>
      <c r="AA21" s="76" t="s">
        <v>21</v>
      </c>
    </row>
    <row r="22" spans="1:30" s="8" customFormat="1" ht="17.25" customHeight="1">
      <c r="A22" s="29">
        <v>14</v>
      </c>
      <c r="B22" s="32" t="s">
        <v>62</v>
      </c>
      <c r="C22" s="23"/>
      <c r="D22" s="23"/>
      <c r="E22" s="23"/>
      <c r="F22" s="23"/>
      <c r="G22" s="23"/>
      <c r="H22" s="23"/>
      <c r="I22" s="23"/>
      <c r="J22" s="23"/>
      <c r="K22" s="114">
        <v>26</v>
      </c>
      <c r="L22" s="114">
        <v>32</v>
      </c>
      <c r="M22" s="116">
        <v>29</v>
      </c>
      <c r="N22" s="106">
        <f>IF(1&gt;W4,"",(N10+N21))</f>
        <v>4</v>
      </c>
      <c r="O22" s="162">
        <f>IF(2&gt;W4,"",(O10+O21))</f>
        <v>1</v>
      </c>
      <c r="P22" s="162">
        <f>IF(3&gt;W4,"",(P10+P21))</f>
        <v>0</v>
      </c>
      <c r="Q22" s="162">
        <f>IF(4&gt;W4,"",(Q10+Q21))</f>
        <v>0</v>
      </c>
      <c r="R22" s="162">
        <f>IF(5&gt;W4,"",(R10+R21))</f>
        <v>2</v>
      </c>
      <c r="S22" s="162">
        <f>IF(6&gt;W4,"",(S10+S21))</f>
        <v>5</v>
      </c>
      <c r="T22" s="162">
        <f>IF(7&gt;W4,"",(T10+T21))</f>
        <v>1</v>
      </c>
      <c r="U22" s="162">
        <f>IF(8&gt;W4,"",(U10+U21))</f>
        <v>3</v>
      </c>
      <c r="V22" s="162">
        <f>IF(9&gt;W4,"",(V10+V21))</f>
        <v>3</v>
      </c>
      <c r="W22" s="162">
        <f>IF(10&gt;W4,"",(W10+W21))</f>
        <v>1</v>
      </c>
      <c r="X22" s="162">
        <f>IF(11&gt;W4,"",(X10+X21))</f>
        <v>0</v>
      </c>
      <c r="Y22" s="162">
        <f>IF(12&gt;W4,"",(Y10+Y21))</f>
        <v>0</v>
      </c>
      <c r="Z22" s="108">
        <f>SUM(N22:Y22)</f>
        <v>20</v>
      </c>
      <c r="AA22" s="76" t="s">
        <v>21</v>
      </c>
      <c r="AD22" s="10"/>
    </row>
    <row r="23" spans="1:30" s="8" customFormat="1" ht="17.25" customHeight="1">
      <c r="A23" s="29" t="s">
        <v>78</v>
      </c>
      <c r="B23" s="30" t="s">
        <v>81</v>
      </c>
      <c r="C23" s="23"/>
      <c r="D23" s="23"/>
      <c r="E23" s="23"/>
      <c r="F23" s="23"/>
      <c r="G23" s="23"/>
      <c r="H23" s="23"/>
      <c r="I23" s="23"/>
      <c r="J23" s="23"/>
      <c r="K23" s="76" t="s">
        <v>21</v>
      </c>
      <c r="L23" s="155">
        <f>IF(L22="","",IF(K24="","",L22/K24))</f>
        <v>0.12749003984063745</v>
      </c>
      <c r="M23" s="155">
        <f>IF(M22="","",IF(L24="","",M22/L24))</f>
        <v>0.11553784860557768</v>
      </c>
      <c r="N23" s="147">
        <f>IF(1&gt;W4,"",(N22/M24))</f>
        <v>0.01680672268907563</v>
      </c>
      <c r="O23" s="146">
        <f>IF(2&gt;W4,"",(SUM(N22:O22)/M24))</f>
        <v>0.02100840336134454</v>
      </c>
      <c r="P23" s="146">
        <f>IF(3&gt;W4,"",(SUM(N22:P22)/M24))</f>
        <v>0.02100840336134454</v>
      </c>
      <c r="Q23" s="146">
        <f>IF(4&gt;W4,"",(SUM(N22:Q22)/M24))</f>
        <v>0.02100840336134454</v>
      </c>
      <c r="R23" s="146">
        <f>IF(5&gt;W4,"",(SUM(N22:R22)/M24))</f>
        <v>0.029411764705882353</v>
      </c>
      <c r="S23" s="146">
        <f>IF(6&gt;W4,"",(SUM(N22:S22)/M24))</f>
        <v>0.05042016806722689</v>
      </c>
      <c r="T23" s="146">
        <f>IF(7&gt;W4,"",(SUM(N22:T22)/M24))</f>
        <v>0.0546218487394958</v>
      </c>
      <c r="U23" s="146">
        <f>IF(8&gt;W4,"",(SUM(N22:U22)/M24))</f>
        <v>0.06722689075630252</v>
      </c>
      <c r="V23" s="146">
        <f>IF(9&gt;W4,"",(SUM(N22:V22)/M24))</f>
        <v>0.07983193277310924</v>
      </c>
      <c r="W23" s="146">
        <f>IF(10&gt;W4,"",(SUM(N22:W22)/M24))</f>
        <v>0.08403361344537816</v>
      </c>
      <c r="X23" s="146">
        <f>IF(11&gt;W4,"",(SUM(N22:X22)/M24))</f>
        <v>0.08403361344537816</v>
      </c>
      <c r="Y23" s="146">
        <f>IF(12&gt;W4,"",(SUM(N22:Y22)/M24))</f>
        <v>0.08403361344537816</v>
      </c>
      <c r="Z23" s="149">
        <f>(Z22/M24)</f>
        <v>0.08403361344537816</v>
      </c>
      <c r="AA23" s="76" t="s">
        <v>21</v>
      </c>
      <c r="AD23" s="10"/>
    </row>
    <row r="24" spans="1:27" s="8" customFormat="1" ht="17.25" customHeight="1">
      <c r="A24" s="29">
        <v>15</v>
      </c>
      <c r="B24" s="32" t="s">
        <v>63</v>
      </c>
      <c r="C24" s="33"/>
      <c r="D24" s="33"/>
      <c r="E24" s="33"/>
      <c r="F24" s="33"/>
      <c r="G24" s="33"/>
      <c r="H24" s="33"/>
      <c r="I24" s="33"/>
      <c r="J24" s="33"/>
      <c r="K24" s="104">
        <v>251</v>
      </c>
      <c r="L24" s="104">
        <v>251</v>
      </c>
      <c r="M24" s="105">
        <v>238</v>
      </c>
      <c r="N24" s="112">
        <f>IF(1&gt;W4,"",(N8+N11+N17-N22))</f>
        <v>238</v>
      </c>
      <c r="O24" s="113">
        <f>IF(2&gt;W4,"",(O8+O11+O17-O22))</f>
        <v>242</v>
      </c>
      <c r="P24" s="113">
        <f>IF(3&gt;W4,"",(P8+P11+P17-P22))</f>
        <v>244</v>
      </c>
      <c r="Q24" s="113">
        <f>IF(4&gt;W4,"",(Q8+Q11+Q17-Q22))</f>
        <v>246</v>
      </c>
      <c r="R24" s="113">
        <f>IF(5&gt;W4,"",(R8+R11+R17-R22))</f>
        <v>245</v>
      </c>
      <c r="S24" s="113">
        <f>IF(6&gt;W4,"",(S8+S11+S17-S22))</f>
        <v>242</v>
      </c>
      <c r="T24" s="113">
        <f>IF(7&gt;W4," ",T8+T11+T17-T22)</f>
        <v>242</v>
      </c>
      <c r="U24" s="113">
        <f>IF(8&gt;W4,"",(U8+U11+U17-U22))</f>
        <v>239</v>
      </c>
      <c r="V24" s="113">
        <f>IF(9&gt;W4,"",(V8+V11+V17-V22))</f>
        <v>239</v>
      </c>
      <c r="W24" s="113">
        <f>IF(10&gt;W4,"",(W8+W11+W17-W22))</f>
        <v>242</v>
      </c>
      <c r="X24" s="113">
        <f>IF(11&gt;W4,"",(X8+X11+X17-X22))</f>
        <v>242</v>
      </c>
      <c r="Y24" s="113">
        <f>IF(12&gt;W4,"",(Y8+Y11+Y17-Y22))</f>
        <v>242</v>
      </c>
      <c r="Z24" s="76" t="s">
        <v>21</v>
      </c>
      <c r="AA24" s="114">
        <v>250</v>
      </c>
    </row>
    <row r="25" spans="1:27" s="8" customFormat="1" ht="17.25" customHeight="1">
      <c r="A25" s="34" t="s">
        <v>80</v>
      </c>
      <c r="B25" s="144" t="s">
        <v>82</v>
      </c>
      <c r="C25" s="35"/>
      <c r="D25" s="35"/>
      <c r="E25" s="35"/>
      <c r="F25" s="35"/>
      <c r="G25" s="35"/>
      <c r="H25" s="35"/>
      <c r="I25" s="35"/>
      <c r="J25" s="35"/>
      <c r="K25" s="76" t="s">
        <v>21</v>
      </c>
      <c r="L25" s="146">
        <f>IF(L24="","",IF(K24="","",(L24-K24)/K24))</f>
        <v>0</v>
      </c>
      <c r="M25" s="146">
        <f>IF(M24="","",IF(L24="","",(M24-L24)/L24))</f>
        <v>-0.05179282868525897</v>
      </c>
      <c r="N25" s="147">
        <f>IF(1&gt;W4,"",(((N24-M24)/M24)))</f>
        <v>0</v>
      </c>
      <c r="O25" s="146">
        <f>IF(2&gt;W4,"",(((O24-M24)/M24)))</f>
        <v>0.01680672268907563</v>
      </c>
      <c r="P25" s="146">
        <f>IF(3&gt;W4,"",(((P24-M24)/M24)))</f>
        <v>0.025210084033613446</v>
      </c>
      <c r="Q25" s="146">
        <f>IF(4&gt;W4,"",(((Q24-M24)/M24)))</f>
        <v>0.03361344537815126</v>
      </c>
      <c r="R25" s="146">
        <f>IF(5&gt;W4,"",(((R24-M24)/M24)))</f>
        <v>0.029411764705882353</v>
      </c>
      <c r="S25" s="146">
        <f>IF(6&gt;W4,"",(((S24-M24)/M24)))</f>
        <v>0.01680672268907563</v>
      </c>
      <c r="T25" s="146">
        <f>IF(7&gt;W4,"",(((T24-M24)/M24)))</f>
        <v>0.01680672268907563</v>
      </c>
      <c r="U25" s="146">
        <f>IF(8&gt;W4,"",(((U24-M24)/M24)))</f>
        <v>0.004201680672268907</v>
      </c>
      <c r="V25" s="146">
        <f>IF(9&gt;W4,"",(((V24-M24)/M24)))</f>
        <v>0.004201680672268907</v>
      </c>
      <c r="W25" s="146">
        <f>IF(10&gt;W4,"",(((W24-M24)/M24)))</f>
        <v>0.01680672268907563</v>
      </c>
      <c r="X25" s="146">
        <f>IF(11&gt;W4,"",(((X24-M24)/M24)))</f>
        <v>0.01680672268907563</v>
      </c>
      <c r="Y25" s="146">
        <f>IF(12&gt;W4,"",(((Y24-M24)/M24)))</f>
        <v>0.01680672268907563</v>
      </c>
      <c r="Z25" s="155">
        <f>(Z11+Z17-Z22)/M24</f>
        <v>0.01680672268907563</v>
      </c>
      <c r="AA25" s="76" t="s">
        <v>21</v>
      </c>
    </row>
    <row r="26" spans="1:27" s="8" customFormat="1" ht="17.25" customHeight="1">
      <c r="A26" s="34" t="s">
        <v>22</v>
      </c>
      <c r="B26" s="143" t="s">
        <v>75</v>
      </c>
      <c r="C26" s="35"/>
      <c r="D26" s="35"/>
      <c r="E26" s="35"/>
      <c r="F26" s="35"/>
      <c r="G26" s="35"/>
      <c r="H26" s="35"/>
      <c r="I26" s="35"/>
      <c r="J26" s="36"/>
      <c r="K26" s="115"/>
      <c r="L26" s="115">
        <v>12</v>
      </c>
      <c r="M26" s="116">
        <v>13</v>
      </c>
      <c r="N26" s="156" t="s">
        <v>21</v>
      </c>
      <c r="O26" s="76" t="s">
        <v>21</v>
      </c>
      <c r="P26" s="115">
        <v>16</v>
      </c>
      <c r="Q26" s="76" t="s">
        <v>21</v>
      </c>
      <c r="R26" s="76" t="s">
        <v>21</v>
      </c>
      <c r="S26" s="115">
        <v>16</v>
      </c>
      <c r="T26" s="76" t="s">
        <v>21</v>
      </c>
      <c r="U26" s="76" t="s">
        <v>21</v>
      </c>
      <c r="V26" s="115">
        <v>17</v>
      </c>
      <c r="W26" s="76" t="s">
        <v>21</v>
      </c>
      <c r="X26" s="76" t="s">
        <v>21</v>
      </c>
      <c r="Y26" s="115">
        <v>18</v>
      </c>
      <c r="Z26" s="96" t="s">
        <v>21</v>
      </c>
      <c r="AA26" s="114">
        <v>18</v>
      </c>
    </row>
    <row r="27" spans="1:27" s="8" customFormat="1" ht="17.25" customHeight="1">
      <c r="A27" s="34" t="s">
        <v>31</v>
      </c>
      <c r="B27" s="143" t="s">
        <v>76</v>
      </c>
      <c r="C27" s="35"/>
      <c r="D27" s="35"/>
      <c r="E27" s="35"/>
      <c r="F27" s="35"/>
      <c r="G27" s="35"/>
      <c r="H27" s="35"/>
      <c r="I27" s="35"/>
      <c r="J27" s="36"/>
      <c r="K27" s="115"/>
      <c r="L27" s="115">
        <v>2</v>
      </c>
      <c r="M27" s="116">
        <v>4</v>
      </c>
      <c r="N27" s="156" t="s">
        <v>21</v>
      </c>
      <c r="O27" s="76" t="s">
        <v>21</v>
      </c>
      <c r="P27" s="115">
        <v>5</v>
      </c>
      <c r="Q27" s="76" t="s">
        <v>21</v>
      </c>
      <c r="R27" s="76" t="s">
        <v>21</v>
      </c>
      <c r="S27" s="115">
        <v>4</v>
      </c>
      <c r="T27" s="76" t="s">
        <v>21</v>
      </c>
      <c r="U27" s="76" t="s">
        <v>21</v>
      </c>
      <c r="V27" s="115">
        <v>4</v>
      </c>
      <c r="W27" s="76" t="s">
        <v>21</v>
      </c>
      <c r="X27" s="76" t="s">
        <v>21</v>
      </c>
      <c r="Y27" s="115">
        <v>5</v>
      </c>
      <c r="Z27" s="96" t="s">
        <v>21</v>
      </c>
      <c r="AA27" s="117">
        <v>6</v>
      </c>
    </row>
    <row r="28" spans="1:27" s="8" customFormat="1" ht="17.25" customHeight="1" thickBot="1">
      <c r="A28" s="164" t="s">
        <v>32</v>
      </c>
      <c r="B28" s="165" t="s">
        <v>83</v>
      </c>
      <c r="C28" s="166"/>
      <c r="D28" s="166"/>
      <c r="E28" s="166"/>
      <c r="F28" s="166"/>
      <c r="G28" s="166"/>
      <c r="H28" s="166"/>
      <c r="I28" s="166"/>
      <c r="J28" s="167"/>
      <c r="K28" s="168"/>
      <c r="L28" s="168">
        <v>76.6</v>
      </c>
      <c r="M28" s="169">
        <v>77.1</v>
      </c>
      <c r="N28" s="170" t="s">
        <v>21</v>
      </c>
      <c r="O28" s="118" t="s">
        <v>21</v>
      </c>
      <c r="P28" s="168">
        <v>77.2</v>
      </c>
      <c r="Q28" s="118" t="s">
        <v>21</v>
      </c>
      <c r="R28" s="118" t="s">
        <v>21</v>
      </c>
      <c r="S28" s="168">
        <v>76.9</v>
      </c>
      <c r="T28" s="118" t="s">
        <v>21</v>
      </c>
      <c r="U28" s="118" t="s">
        <v>21</v>
      </c>
      <c r="V28" s="168">
        <v>77.1</v>
      </c>
      <c r="W28" s="118" t="s">
        <v>21</v>
      </c>
      <c r="X28" s="118" t="s">
        <v>21</v>
      </c>
      <c r="Y28" s="168">
        <v>77.4</v>
      </c>
      <c r="Z28" s="118" t="s">
        <v>21</v>
      </c>
      <c r="AA28" s="118" t="s">
        <v>21</v>
      </c>
    </row>
    <row r="29" spans="1:26" s="60" customFormat="1" ht="17.25" customHeight="1">
      <c r="A29" s="72" t="s">
        <v>64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7" s="60" customFormat="1" ht="17.25" customHeight="1">
      <c r="A30" s="37" t="s">
        <v>65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38"/>
      <c r="AA30" s="60" t="s">
        <v>23</v>
      </c>
    </row>
    <row r="31" spans="1:26" s="60" customFormat="1" ht="9.75" customHeight="1" thickBot="1">
      <c r="A31" s="37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s="8" customFormat="1" ht="17.25" customHeight="1" hidden="1" thickBot="1">
      <c r="A32" s="14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0">
        <f>IF(N33="",1,N33)</f>
        <v>1</v>
      </c>
      <c r="O32" s="40">
        <f aca="true" t="shared" si="0" ref="O32:Y32">IF(O33="",1,O33)</f>
        <v>1</v>
      </c>
      <c r="P32" s="40">
        <f t="shared" si="0"/>
        <v>1</v>
      </c>
      <c r="Q32" s="40">
        <f t="shared" si="0"/>
        <v>1</v>
      </c>
      <c r="R32" s="40" t="str">
        <f t="shared" si="0"/>
        <v>LDL</v>
      </c>
      <c r="S32" s="40">
        <f t="shared" si="0"/>
        <v>1</v>
      </c>
      <c r="T32" s="40">
        <f t="shared" si="0"/>
        <v>1</v>
      </c>
      <c r="U32" s="40">
        <f t="shared" si="0"/>
        <v>1</v>
      </c>
      <c r="V32" s="40">
        <f t="shared" si="0"/>
        <v>1</v>
      </c>
      <c r="W32" s="40">
        <f t="shared" si="0"/>
        <v>1</v>
      </c>
      <c r="X32" s="40">
        <f t="shared" si="0"/>
        <v>1</v>
      </c>
      <c r="Y32" s="40" t="str">
        <f t="shared" si="0"/>
        <v>LDL</v>
      </c>
      <c r="Z32" s="10"/>
    </row>
    <row r="33" spans="1:26" s="8" customFormat="1" ht="17.25" customHeight="1" thickBot="1" thickTop="1">
      <c r="A33" s="9" t="s">
        <v>24</v>
      </c>
      <c r="B33" s="37"/>
      <c r="C33" s="37"/>
      <c r="D33" s="37"/>
      <c r="E33" s="37"/>
      <c r="F33" s="37"/>
      <c r="G33" s="37"/>
      <c r="H33" s="37"/>
      <c r="I33" s="37"/>
      <c r="L33" s="10"/>
      <c r="M33" s="41" t="s">
        <v>74</v>
      </c>
      <c r="N33" s="42"/>
      <c r="O33" s="43"/>
      <c r="P33" s="43"/>
      <c r="Q33" s="43"/>
      <c r="R33" s="43" t="s">
        <v>91</v>
      </c>
      <c r="S33" s="43"/>
      <c r="T33" s="43"/>
      <c r="U33" s="43"/>
      <c r="V33" s="43"/>
      <c r="W33" s="43"/>
      <c r="X33" s="43"/>
      <c r="Y33" s="44" t="s">
        <v>91</v>
      </c>
      <c r="Z33" s="10"/>
    </row>
    <row r="34" spans="1:27" s="8" customFormat="1" ht="17.25" customHeight="1" thickBot="1">
      <c r="A34" s="45" t="s">
        <v>5</v>
      </c>
      <c r="B34" s="190" t="s">
        <v>6</v>
      </c>
      <c r="C34" s="182"/>
      <c r="D34" s="182"/>
      <c r="E34" s="182"/>
      <c r="F34" s="182"/>
      <c r="G34" s="182"/>
      <c r="H34" s="182"/>
      <c r="I34" s="182"/>
      <c r="J34" s="183"/>
      <c r="K34" s="46">
        <f>IF((I3-3)&lt;0,"",(I3-3))</f>
        <v>2012</v>
      </c>
      <c r="L34" s="47">
        <f>IF((I3-2)&lt;0,"",(I3-2))</f>
        <v>2013</v>
      </c>
      <c r="M34" s="48">
        <f>IF((I3-1)&lt;0,"",(I3-1))</f>
        <v>2014</v>
      </c>
      <c r="N34" s="49" t="s">
        <v>7</v>
      </c>
      <c r="O34" s="17" t="s">
        <v>8</v>
      </c>
      <c r="P34" s="18" t="s">
        <v>9</v>
      </c>
      <c r="Q34" s="17" t="s">
        <v>10</v>
      </c>
      <c r="R34" s="18" t="s">
        <v>11</v>
      </c>
      <c r="S34" s="17" t="s">
        <v>12</v>
      </c>
      <c r="T34" s="18" t="s">
        <v>13</v>
      </c>
      <c r="U34" s="17" t="s">
        <v>14</v>
      </c>
      <c r="V34" s="18" t="s">
        <v>15</v>
      </c>
      <c r="W34" s="17" t="s">
        <v>16</v>
      </c>
      <c r="X34" s="18" t="s">
        <v>17</v>
      </c>
      <c r="Y34" s="17" t="s">
        <v>18</v>
      </c>
      <c r="Z34" s="50" t="s">
        <v>25</v>
      </c>
      <c r="AA34" s="12" t="s">
        <v>20</v>
      </c>
    </row>
    <row r="35" spans="1:31" s="8" customFormat="1" ht="17.25" customHeight="1">
      <c r="A35" s="20">
        <v>16</v>
      </c>
      <c r="B35" s="21" t="s">
        <v>66</v>
      </c>
      <c r="C35" s="51"/>
      <c r="D35" s="51"/>
      <c r="E35" s="51"/>
      <c r="F35" s="51"/>
      <c r="G35" s="51"/>
      <c r="H35" s="51"/>
      <c r="I35" s="51"/>
      <c r="J35" s="51"/>
      <c r="K35" s="119">
        <f>K24</f>
        <v>251</v>
      </c>
      <c r="L35" s="119">
        <f>L24</f>
        <v>251</v>
      </c>
      <c r="M35" s="120">
        <f>M24</f>
        <v>238</v>
      </c>
      <c r="N35" s="121">
        <f>IF(1&gt;W4,"",N24)</f>
        <v>238</v>
      </c>
      <c r="O35" s="122">
        <f>IF(2&gt;W4,"",O24)</f>
        <v>242</v>
      </c>
      <c r="P35" s="122">
        <f>IF(3&gt;W4,"",P24)</f>
        <v>244</v>
      </c>
      <c r="Q35" s="122">
        <f>IF(4&gt;W4,"",Q24)</f>
        <v>246</v>
      </c>
      <c r="R35" s="122">
        <f>IF(5&gt;W4,"",R24)</f>
        <v>245</v>
      </c>
      <c r="S35" s="122">
        <f>IF(6&gt;W4,"",S24)</f>
        <v>242</v>
      </c>
      <c r="T35" s="122">
        <f>IF(7&gt;W4,"",T24)</f>
        <v>242</v>
      </c>
      <c r="U35" s="122">
        <f>IF(8&gt;W4,"",U24)</f>
        <v>239</v>
      </c>
      <c r="V35" s="122">
        <f>IF(9&gt;W4,"",V24)</f>
        <v>239</v>
      </c>
      <c r="W35" s="122">
        <f>IF(10&gt;W4,"",W24)</f>
        <v>242</v>
      </c>
      <c r="X35" s="122">
        <f>IF(11&gt;W4,"",X24)</f>
        <v>242</v>
      </c>
      <c r="Y35" s="122">
        <f>IF(12&gt;W4,"",Y24)</f>
        <v>242</v>
      </c>
      <c r="Z35" s="80" t="s">
        <v>21</v>
      </c>
      <c r="AA35" s="80" t="s">
        <v>21</v>
      </c>
      <c r="AB35" s="52"/>
      <c r="AC35" s="53"/>
      <c r="AD35" s="53"/>
      <c r="AE35" s="53"/>
    </row>
    <row r="36" spans="1:32" s="8" customFormat="1" ht="17.25" customHeight="1">
      <c r="A36" s="22">
        <v>17</v>
      </c>
      <c r="B36" s="25" t="s">
        <v>26</v>
      </c>
      <c r="C36" s="26"/>
      <c r="D36" s="26"/>
      <c r="E36" s="26"/>
      <c r="F36" s="26"/>
      <c r="G36" s="26"/>
      <c r="H36" s="26"/>
      <c r="I36" s="26"/>
      <c r="J36" s="27"/>
      <c r="K36" s="75" t="s">
        <v>21</v>
      </c>
      <c r="L36" s="75" t="s">
        <v>21</v>
      </c>
      <c r="M36" s="101" t="s">
        <v>21</v>
      </c>
      <c r="N36" s="84">
        <v>166</v>
      </c>
      <c r="O36" s="85">
        <v>173</v>
      </c>
      <c r="P36" s="88">
        <v>182</v>
      </c>
      <c r="Q36" s="85">
        <v>179</v>
      </c>
      <c r="R36" s="88"/>
      <c r="S36" s="85">
        <v>178</v>
      </c>
      <c r="T36" s="88">
        <v>169</v>
      </c>
      <c r="U36" s="85">
        <v>182</v>
      </c>
      <c r="V36" s="88">
        <v>158</v>
      </c>
      <c r="W36" s="85">
        <v>174</v>
      </c>
      <c r="X36" s="88">
        <v>177</v>
      </c>
      <c r="Y36" s="92"/>
      <c r="Z36" s="83" t="s">
        <v>21</v>
      </c>
      <c r="AA36" s="83" t="s">
        <v>21</v>
      </c>
      <c r="AB36" s="52"/>
      <c r="AC36" s="53"/>
      <c r="AD36" s="53"/>
      <c r="AE36" s="53"/>
      <c r="AF36" s="70"/>
    </row>
    <row r="37" spans="1:31" s="8" customFormat="1" ht="17.25" customHeight="1">
      <c r="A37" s="29">
        <v>18</v>
      </c>
      <c r="B37" s="32" t="s">
        <v>43</v>
      </c>
      <c r="C37" s="26"/>
      <c r="D37" s="26"/>
      <c r="E37" s="26"/>
      <c r="F37" s="26"/>
      <c r="G37" s="26"/>
      <c r="H37" s="26"/>
      <c r="I37" s="26"/>
      <c r="J37" s="27"/>
      <c r="K37" s="123">
        <v>0.74</v>
      </c>
      <c r="L37" s="123">
        <v>0.76</v>
      </c>
      <c r="M37" s="124">
        <v>0.71</v>
      </c>
      <c r="N37" s="125">
        <f>IF(1&gt;W4,"",N36/N35)</f>
        <v>0.6974789915966386</v>
      </c>
      <c r="O37" s="126">
        <f>IF(2&gt;W4,"",O36/O35)</f>
        <v>0.7148760330578512</v>
      </c>
      <c r="P37" s="127">
        <f>IF(3&gt;W4,"",P36/P35)</f>
        <v>0.7459016393442623</v>
      </c>
      <c r="Q37" s="126">
        <f>IF(4&gt;W4,"",Q36/Q35)</f>
        <v>0.7276422764227642</v>
      </c>
      <c r="R37" s="127">
        <f>IF(5&gt;W4,"",R36/R35)</f>
        <v>0</v>
      </c>
      <c r="S37" s="126">
        <f>IF(6&gt;W4,"",S36/S35)</f>
        <v>0.7355371900826446</v>
      </c>
      <c r="T37" s="127">
        <f>IF(7&gt;W4,"",T36/T35)</f>
        <v>0.6983471074380165</v>
      </c>
      <c r="U37" s="126">
        <f>IF(8&gt;W4,"",U36/U35)</f>
        <v>0.7615062761506276</v>
      </c>
      <c r="V37" s="127">
        <f>IF(9&gt;W4,"",V36/V35)</f>
        <v>0.6610878661087866</v>
      </c>
      <c r="W37" s="126">
        <f>IF(10&gt;W4,"",W36/W35)</f>
        <v>0.71900826446281</v>
      </c>
      <c r="X37" s="127">
        <f>IF(11&gt;W4,"",X36/X35)</f>
        <v>0.731404958677686</v>
      </c>
      <c r="Y37" s="126">
        <f>IF(12&gt;W4,"",Y36/Y35)</f>
        <v>0</v>
      </c>
      <c r="Z37" s="128">
        <f>SUMIF(N32:Y32,"1",N37:Y37)/SUMIF(N37:Y37,"&gt;0",N32:Y32)</f>
        <v>0.7192790603342087</v>
      </c>
      <c r="AA37" s="129">
        <v>0.7</v>
      </c>
      <c r="AB37" s="52"/>
      <c r="AC37" s="53"/>
      <c r="AD37" s="53"/>
      <c r="AE37" s="53"/>
    </row>
    <row r="38" spans="1:31" s="8" customFormat="1" ht="17.25" customHeight="1">
      <c r="A38" s="29">
        <v>19</v>
      </c>
      <c r="B38" s="32" t="s">
        <v>85</v>
      </c>
      <c r="C38" s="26"/>
      <c r="D38" s="26"/>
      <c r="E38" s="26"/>
      <c r="F38" s="26"/>
      <c r="G38" s="26"/>
      <c r="H38" s="26"/>
      <c r="I38" s="26"/>
      <c r="J38" s="27"/>
      <c r="K38" s="130">
        <v>56</v>
      </c>
      <c r="L38" s="130">
        <v>45</v>
      </c>
      <c r="M38" s="105">
        <v>33</v>
      </c>
      <c r="N38" s="131">
        <v>5</v>
      </c>
      <c r="O38" s="132">
        <v>3</v>
      </c>
      <c r="P38" s="104">
        <v>11</v>
      </c>
      <c r="Q38" s="132">
        <v>6</v>
      </c>
      <c r="R38" s="104"/>
      <c r="S38" s="132">
        <v>3</v>
      </c>
      <c r="T38" s="104">
        <v>5</v>
      </c>
      <c r="U38" s="132">
        <v>1</v>
      </c>
      <c r="V38" s="104">
        <v>3</v>
      </c>
      <c r="W38" s="132">
        <v>3</v>
      </c>
      <c r="X38" s="104">
        <v>1</v>
      </c>
      <c r="Y38" s="133"/>
      <c r="Z38" s="134">
        <f>SUM(N38:Y38)</f>
        <v>41</v>
      </c>
      <c r="AA38" s="135">
        <v>70</v>
      </c>
      <c r="AB38" s="52"/>
      <c r="AC38" s="53"/>
      <c r="AD38" s="53"/>
      <c r="AE38" s="53"/>
    </row>
    <row r="39" spans="1:31" s="8" customFormat="1" ht="17.25" customHeight="1">
      <c r="A39" s="29" t="s">
        <v>88</v>
      </c>
      <c r="B39" s="32" t="s">
        <v>84</v>
      </c>
      <c r="C39" s="26"/>
      <c r="D39" s="26"/>
      <c r="E39" s="26"/>
      <c r="F39" s="26"/>
      <c r="G39" s="26"/>
      <c r="H39" s="26"/>
      <c r="I39" s="26"/>
      <c r="J39" s="27"/>
      <c r="K39" s="75" t="s">
        <v>21</v>
      </c>
      <c r="L39" s="150">
        <f>IF(L38="","",IF(L35="","",L38/L35))</f>
        <v>0.17928286852589642</v>
      </c>
      <c r="M39" s="150">
        <f>IF(M38="","",IF(M35="","",M38/M35))</f>
        <v>0.13865546218487396</v>
      </c>
      <c r="N39" s="151">
        <f>IF(1&gt;W4,"",N38/M35)</f>
        <v>0.02100840336134454</v>
      </c>
      <c r="O39" s="152">
        <f>IF(2&gt;W4,"",(SUM(N38:O38)/M35))</f>
        <v>0.03361344537815126</v>
      </c>
      <c r="P39" s="153">
        <f>IF(3&gt;W4,"",(SUM(N38:P38)/M35))</f>
        <v>0.07983193277310924</v>
      </c>
      <c r="Q39" s="152">
        <f>IF(4&gt;W4,"",(SUM(N38:Q38)/M35))</f>
        <v>0.10504201680672269</v>
      </c>
      <c r="R39" s="153">
        <f>IF(5&gt;W4,"",(SUM(N38:R38)/M35))</f>
        <v>0.10504201680672269</v>
      </c>
      <c r="S39" s="152">
        <f>IF(6&gt;W4,"",(SUM(N38:S38)/M35))</f>
        <v>0.11764705882352941</v>
      </c>
      <c r="T39" s="153">
        <f>IF(7&gt;W4,"",(SUM(N38:T38)/M35))</f>
        <v>0.13865546218487396</v>
      </c>
      <c r="U39" s="152">
        <f>IF(8&gt;W4,"",(SUM(N38:U38)/M35))</f>
        <v>0.14285714285714285</v>
      </c>
      <c r="V39" s="153">
        <f>IF(9&gt;W4,"",(SUM(N38:V38)/M35))</f>
        <v>0.15546218487394958</v>
      </c>
      <c r="W39" s="152">
        <f>IF(10&gt;W4,"",(SUM(N38:W38)/M35))</f>
        <v>0.16806722689075632</v>
      </c>
      <c r="X39" s="153">
        <f>IF(11&gt;W4,"",(SUM(N38:X38)/M35))</f>
        <v>0.1722689075630252</v>
      </c>
      <c r="Y39" s="154">
        <f>IF(12&gt;W4,"",(SUM(N38:Y38)/M35))</f>
        <v>0.1722689075630252</v>
      </c>
      <c r="Z39" s="153">
        <f>Z38/M35</f>
        <v>0.1722689075630252</v>
      </c>
      <c r="AA39" s="136" t="s">
        <v>21</v>
      </c>
      <c r="AB39" s="52"/>
      <c r="AC39" s="53"/>
      <c r="AD39" s="53"/>
      <c r="AE39" s="53"/>
    </row>
    <row r="40" spans="1:31" s="8" customFormat="1" ht="17.25" customHeight="1">
      <c r="A40" s="22" t="s">
        <v>27</v>
      </c>
      <c r="B40" s="25" t="s">
        <v>35</v>
      </c>
      <c r="C40" s="26"/>
      <c r="D40" s="26"/>
      <c r="E40" s="26"/>
      <c r="F40" s="26"/>
      <c r="G40" s="26"/>
      <c r="H40" s="26"/>
      <c r="I40" s="26"/>
      <c r="J40" s="27"/>
      <c r="K40" s="75" t="s">
        <v>21</v>
      </c>
      <c r="L40" s="75" t="s">
        <v>21</v>
      </c>
      <c r="M40" s="101" t="s">
        <v>21</v>
      </c>
      <c r="N40" s="84">
        <v>0</v>
      </c>
      <c r="O40" s="85">
        <v>0</v>
      </c>
      <c r="P40" s="88">
        <v>0</v>
      </c>
      <c r="Q40" s="85">
        <v>0</v>
      </c>
      <c r="R40" s="88"/>
      <c r="S40" s="85">
        <v>0</v>
      </c>
      <c r="T40" s="88">
        <v>0</v>
      </c>
      <c r="U40" s="85">
        <v>0</v>
      </c>
      <c r="V40" s="88">
        <v>0</v>
      </c>
      <c r="W40" s="85">
        <v>0</v>
      </c>
      <c r="X40" s="88">
        <v>0</v>
      </c>
      <c r="Y40" s="103"/>
      <c r="Z40" s="95">
        <f>SUM(N40:Y40)</f>
        <v>0</v>
      </c>
      <c r="AA40" s="136" t="s">
        <v>21</v>
      </c>
      <c r="AB40" s="52"/>
      <c r="AC40" s="52"/>
      <c r="AD40" s="52"/>
      <c r="AE40" s="52"/>
    </row>
    <row r="41" spans="1:31" s="8" customFormat="1" ht="17.25" customHeight="1">
      <c r="A41" s="22">
        <v>20</v>
      </c>
      <c r="B41" s="25" t="s">
        <v>67</v>
      </c>
      <c r="C41" s="26"/>
      <c r="D41" s="26"/>
      <c r="E41" s="26"/>
      <c r="F41" s="26"/>
      <c r="G41" s="26"/>
      <c r="H41" s="26"/>
      <c r="I41" s="26"/>
      <c r="J41" s="27"/>
      <c r="K41" s="75" t="s">
        <v>21</v>
      </c>
      <c r="L41" s="75" t="s">
        <v>21</v>
      </c>
      <c r="M41" s="101" t="s">
        <v>21</v>
      </c>
      <c r="N41" s="84">
        <v>3</v>
      </c>
      <c r="O41" s="85">
        <v>1</v>
      </c>
      <c r="P41" s="88">
        <v>2</v>
      </c>
      <c r="Q41" s="85">
        <v>2</v>
      </c>
      <c r="R41" s="88"/>
      <c r="S41" s="85">
        <v>1</v>
      </c>
      <c r="T41" s="88">
        <v>4</v>
      </c>
      <c r="U41" s="85">
        <v>1</v>
      </c>
      <c r="V41" s="88">
        <v>2</v>
      </c>
      <c r="W41" s="85">
        <v>2</v>
      </c>
      <c r="X41" s="88">
        <v>6</v>
      </c>
      <c r="Y41" s="103"/>
      <c r="Z41" s="89" t="s">
        <v>21</v>
      </c>
      <c r="AA41" s="136" t="s">
        <v>21</v>
      </c>
      <c r="AB41" s="52"/>
      <c r="AC41" s="52"/>
      <c r="AD41" s="52"/>
      <c r="AE41" s="52"/>
    </row>
    <row r="42" spans="1:27" s="8" customFormat="1" ht="17.25" customHeight="1" thickBot="1">
      <c r="A42" s="54">
        <v>21</v>
      </c>
      <c r="B42" s="55" t="s">
        <v>79</v>
      </c>
      <c r="C42" s="55"/>
      <c r="D42" s="55"/>
      <c r="E42" s="56"/>
      <c r="F42" s="56"/>
      <c r="G42" s="56"/>
      <c r="H42" s="56"/>
      <c r="I42" s="56"/>
      <c r="J42" s="56"/>
      <c r="K42" s="137" t="s">
        <v>21</v>
      </c>
      <c r="L42" s="137" t="s">
        <v>21</v>
      </c>
      <c r="M42" s="138" t="s">
        <v>21</v>
      </c>
      <c r="N42" s="139">
        <f>IF(1&gt;W4,"",(N36+N38+N40+N41))</f>
        <v>174</v>
      </c>
      <c r="O42" s="140">
        <f>IF(2&gt;W4,"",(O36+O38+O40+O41))</f>
        <v>177</v>
      </c>
      <c r="P42" s="140">
        <f>IF(3&gt;W4,"",(P36+P38+P40+P41))</f>
        <v>195</v>
      </c>
      <c r="Q42" s="140">
        <f>IF(4&gt;W4,"",(Q36+Q38+Q40+Q41))</f>
        <v>187</v>
      </c>
      <c r="R42" s="140">
        <f>IF(5&gt;W4,"",(R36+R38+R40+R41))</f>
        <v>0</v>
      </c>
      <c r="S42" s="140">
        <f>IF(6&gt;W4,"",(S36+S38+S40+S41))</f>
        <v>182</v>
      </c>
      <c r="T42" s="140">
        <f>IF(7&gt;W4,"",(T36+T38+T40+T41))</f>
        <v>178</v>
      </c>
      <c r="U42" s="140">
        <f>IF(8&gt;W4,"",(U36+U38+U40+U41))</f>
        <v>184</v>
      </c>
      <c r="V42" s="140">
        <f>IF(9&gt;W4,"",(V36+V38+V40+V41))</f>
        <v>163</v>
      </c>
      <c r="W42" s="140">
        <f>IF(10&gt;W4,"",(W36+W38+W40+W41))</f>
        <v>179</v>
      </c>
      <c r="X42" s="140">
        <f>IF(11&gt;W4,"",(X36+X38+X40+X41))</f>
        <v>184</v>
      </c>
      <c r="Y42" s="140">
        <f>IF(12&gt;W4,"",(Y36+Y38+Y40+Y41))</f>
        <v>0</v>
      </c>
      <c r="Z42" s="118" t="s">
        <v>21</v>
      </c>
      <c r="AA42" s="141" t="s">
        <v>21</v>
      </c>
    </row>
    <row r="43" s="60" customFormat="1" ht="17.25" customHeight="1">
      <c r="A43" s="72" t="s">
        <v>68</v>
      </c>
    </row>
    <row r="44" spans="1:27" s="57" customFormat="1" ht="17.25" customHeight="1">
      <c r="A44" s="72" t="s">
        <v>69</v>
      </c>
      <c r="AA44" s="57" t="s">
        <v>23</v>
      </c>
    </row>
    <row r="45" s="57" customFormat="1" ht="9.75" customHeight="1">
      <c r="A45" s="72"/>
    </row>
    <row r="46" spans="1:26" s="60" customFormat="1" ht="17.25" customHeight="1">
      <c r="A46" s="9" t="s">
        <v>28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="60" customFormat="1" ht="17.25" customHeight="1">
      <c r="A47" s="73" t="s">
        <v>29</v>
      </c>
    </row>
    <row r="48" s="60" customFormat="1" ht="17.25" customHeight="1">
      <c r="A48" s="73" t="s">
        <v>30</v>
      </c>
    </row>
    <row r="49" s="60" customFormat="1" ht="17.25" customHeight="1">
      <c r="A49" s="73" t="s">
        <v>87</v>
      </c>
    </row>
    <row r="50" spans="1:26" s="8" customFormat="1" ht="17.25" customHeight="1">
      <c r="A50" s="5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2" s="8" customFormat="1" ht="21">
      <c r="A51" s="62"/>
      <c r="B51" s="62"/>
      <c r="C51" s="63" t="s">
        <v>33</v>
      </c>
      <c r="D51" s="172" t="s">
        <v>92</v>
      </c>
      <c r="E51" s="180"/>
      <c r="F51" s="180"/>
      <c r="G51" s="180"/>
      <c r="H51" s="173"/>
      <c r="J51" s="64" t="s">
        <v>34</v>
      </c>
      <c r="K51" s="174" t="s">
        <v>93</v>
      </c>
      <c r="L51" s="175"/>
      <c r="M51" s="175"/>
      <c r="N51" s="175"/>
      <c r="O51" s="175"/>
      <c r="P51" s="176"/>
      <c r="R51" s="65" t="s">
        <v>72</v>
      </c>
      <c r="S51" s="174">
        <v>42369</v>
      </c>
      <c r="T51" s="175"/>
      <c r="U51" s="175"/>
      <c r="V51" s="176"/>
    </row>
    <row r="52" spans="1:26" s="159" customFormat="1" ht="9.75" customHeight="1">
      <c r="A52" s="157"/>
      <c r="B52" s="157"/>
      <c r="C52" s="65"/>
      <c r="D52" s="158"/>
      <c r="E52" s="158"/>
      <c r="F52" s="158"/>
      <c r="G52" s="158"/>
      <c r="H52" s="158"/>
      <c r="J52" s="64"/>
      <c r="K52" s="160"/>
      <c r="L52" s="160"/>
      <c r="M52" s="160"/>
      <c r="N52" s="160"/>
      <c r="O52" s="160"/>
      <c r="P52" s="160"/>
      <c r="S52" s="65"/>
      <c r="T52" s="160"/>
      <c r="U52" s="160"/>
      <c r="V52" s="160"/>
      <c r="W52" s="160"/>
      <c r="Y52" s="161"/>
      <c r="Z52" s="161"/>
    </row>
    <row r="53" spans="1:26" s="8" customFormat="1" ht="17.25" customHeight="1">
      <c r="A53" s="59" t="s">
        <v>70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s="8" customFormat="1" ht="9.75" customHeight="1">
      <c r="A54" s="66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7" ht="24.75" customHeight="1">
      <c r="A55" s="61" t="s">
        <v>90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 t="s">
        <v>23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</row>
    <row r="56" spans="1:26" ht="24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</sheetData>
  <sheetProtection password="DCCF" sheet="1" selectLockedCells="1"/>
  <mergeCells count="11">
    <mergeCell ref="B34:J34"/>
    <mergeCell ref="A1:AA1"/>
    <mergeCell ref="I3:J3"/>
    <mergeCell ref="S51:V51"/>
    <mergeCell ref="K51:P51"/>
    <mergeCell ref="K6:M6"/>
    <mergeCell ref="P3:Q3"/>
    <mergeCell ref="D51:H51"/>
    <mergeCell ref="B7:J7"/>
    <mergeCell ref="B8:J8"/>
    <mergeCell ref="B14:J14"/>
  </mergeCells>
  <dataValidations count="2">
    <dataValidation type="list" showInputMessage="1" showErrorMessage="1" errorTitle="INVALID DATA" error="INVALID MONTH ENTERED" sqref="AF18:AF19">
      <formula1>$P$3</formula1>
    </dataValidation>
    <dataValidation type="list" showErrorMessage="1" errorTitle="INVALID ENTRY" error="INVALID REPORTING MONTH ENTERED - PRESS 'CANCEL' AND SELECT FROM LIST" sqref="P3:Q3">
      <formula1>$K$4:$V$4</formula1>
    </dataValidation>
  </dataValidations>
  <printOptions horizontalCentered="1"/>
  <pageMargins left="0.5" right="0.5" top="0.33" bottom="0.25" header="0.25" footer="0.19"/>
  <pageSetup fitToHeight="1" fitToWidth="1" horizontalDpi="600" verticalDpi="600" orientation="landscape" scale="62" r:id="rId1"/>
  <ignoredErrors>
    <ignoredError sqref="K35:M36 L14 K41:M42 Q26:R26" unlockedFormula="1"/>
    <ignoredError sqref="N37:Z37 N25 O25:Z25 Z19:AA19 N19:Y19 N23:Z23 M39" evalError="1"/>
    <ignoredError sqref="N39 Q39:Y39 O39:P39 Z39" evalError="1" unlockedFormula="1"/>
    <ignoredError sqref="Z38" formulaRange="1"/>
    <ignoredError sqref="Q39:Y39 O39:P39" evalError="1" formulaRange="1"/>
    <ignoredError sqref="Z3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Phil Goff</cp:lastModifiedBy>
  <cp:lastPrinted>2015-06-23T17:04:06Z</cp:lastPrinted>
  <dcterms:created xsi:type="dcterms:W3CDTF">2014-06-29T18:55:04Z</dcterms:created>
  <dcterms:modified xsi:type="dcterms:W3CDTF">2016-01-01T20:38:01Z</dcterms:modified>
  <cp:category/>
  <cp:version/>
  <cp:contentType/>
  <cp:contentStatus/>
</cp:coreProperties>
</file>